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2.xml" ContentType="application/vnd.openxmlformats-officedocument.drawing+xml"/>
  <Override PartName="/xl/tables/table7.xml" ContentType="application/vnd.openxmlformats-officedocument.spreadsheetml.table+xml"/>
  <Override PartName="/xl/queryTables/queryTable2.xml" ContentType="application/vnd.openxmlformats-officedocument.spreadsheetml.queryTable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8EA0C71A-A153-4CB4-B73B-D40225136947}" xr6:coauthVersionLast="47" xr6:coauthVersionMax="47" xr10:uidLastSave="{00000000-0000-0000-0000-000000000000}"/>
  <bookViews>
    <workbookView xWindow="-120" yWindow="-120" windowWidth="38640" windowHeight="15840" tabRatio="673" firstSheet="2" activeTab="5" xr2:uid="{00000000-000D-0000-FFFF-FFFF00000000}"/>
  </bookViews>
  <sheets>
    <sheet name="Баланс за текущий год" sheetId="1" state="hidden" r:id="rId1"/>
    <sheet name="Диаграмма1" sheetId="2" state="hidden" r:id="rId2"/>
    <sheet name="График" sheetId="3" r:id="rId3"/>
    <sheet name="Повседневневные " sheetId="4" r:id="rId4"/>
    <sheet name="Доходы от" sheetId="5" r:id="rId5"/>
    <sheet name="Квартира" sheetId="6" r:id="rId6"/>
    <sheet name="Крупные. Цели" sheetId="7" r:id="rId7"/>
    <sheet name="Активы" sheetId="8" r:id="rId8"/>
    <sheet name="Лист1" sheetId="10" state="hidden" r:id="rId9"/>
    <sheet name="На цель через год" sheetId="11" state="hidden" r:id="rId10"/>
    <sheet name="Цели" sheetId="9" r:id="rId11"/>
    <sheet name="Справочник" sheetId="12" r:id="rId12"/>
  </sheets>
  <definedNames>
    <definedName name="_xlnm._FilterDatabase" localSheetId="3" hidden="1">'Повседневневные '!$L$1425:$Q$1461</definedName>
    <definedName name="ExternalData_1" localSheetId="7" hidden="1">Активы!$I$2:$J$4</definedName>
    <definedName name="ExternalData_2" localSheetId="3" hidden="1">'Повседневневные '!$S$1458:$T$1460</definedName>
    <definedName name="Home">#REF!</definedName>
    <definedName name="ДатаНачала">Справочник!$P$2</definedName>
    <definedName name="ДатаОкончания">Справочник!$P$3</definedName>
    <definedName name="Дом">#REF!</definedName>
    <definedName name="Месяц">Справочник!$R$3:$R$14</definedName>
    <definedName name="Справочник">#REF!</definedName>
  </definedNames>
  <calcPr calcId="191029"/>
  <pivotCaches>
    <pivotCache cacheId="2" r:id="rId13"/>
    <pivotCache cacheId="1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9" i="3" l="1"/>
  <c r="D29" i="3"/>
  <c r="E29" i="3"/>
  <c r="F29" i="3"/>
  <c r="G29" i="3"/>
  <c r="H29" i="3"/>
  <c r="I29" i="3"/>
  <c r="J29" i="3"/>
  <c r="K29" i="3"/>
  <c r="L29" i="3"/>
  <c r="M29" i="3"/>
  <c r="N29" i="3"/>
  <c r="C29" i="3"/>
  <c r="B2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G29" i="6"/>
  <c r="O30" i="3" l="1"/>
  <c r="O31" i="3"/>
  <c r="G1425" i="4" l="1"/>
  <c r="M1462" i="4" l="1"/>
  <c r="G1423" i="4"/>
  <c r="G1417" i="4" l="1"/>
  <c r="P28" i="3"/>
  <c r="D54" i="3" l="1"/>
  <c r="C64" i="3" l="1" a="1"/>
  <c r="C64" i="3" s="1"/>
  <c r="C28" i="3"/>
  <c r="C75" i="3" l="1"/>
  <c r="C67" i="3"/>
  <c r="C70" i="3"/>
  <c r="C69" i="3"/>
  <c r="C65" i="3"/>
  <c r="C71" i="3"/>
  <c r="C74" i="3"/>
  <c r="C66" i="3"/>
  <c r="C73" i="3"/>
  <c r="C72" i="3"/>
  <c r="C68" i="3"/>
  <c r="N1429" i="4" l="1"/>
  <c r="R1466" i="4"/>
  <c r="E48" i="5"/>
  <c r="F40" i="8"/>
  <c r="D39" i="8"/>
  <c r="O26" i="3"/>
  <c r="F26" i="3"/>
  <c r="G26" i="3"/>
  <c r="M26" i="3"/>
  <c r="D26" i="3"/>
  <c r="L26" i="3"/>
  <c r="I26" i="3"/>
  <c r="H26" i="3"/>
  <c r="J26" i="3"/>
  <c r="Q26" i="3"/>
  <c r="K26" i="3"/>
  <c r="N26" i="3"/>
  <c r="P26" i="3"/>
  <c r="E26" i="3"/>
  <c r="C26" i="3"/>
  <c r="Q25" i="3" l="1"/>
  <c r="P25" i="3"/>
  <c r="O25" i="3"/>
  <c r="C25" i="3"/>
  <c r="D25" i="3"/>
  <c r="E25" i="3"/>
  <c r="F25" i="3"/>
  <c r="N25" i="3"/>
  <c r="M25" i="3"/>
  <c r="L25" i="3"/>
  <c r="K25" i="3"/>
  <c r="J25" i="3"/>
  <c r="I25" i="3"/>
  <c r="H25" i="3"/>
  <c r="G25" i="3"/>
  <c r="G1406" i="4" l="1"/>
  <c r="B1409" i="4"/>
  <c r="C1409" i="4"/>
  <c r="G1405" i="4" l="1"/>
  <c r="G1403" i="4" l="1"/>
  <c r="G1388" i="4" l="1"/>
  <c r="B1386" i="4"/>
  <c r="C1386" i="4"/>
  <c r="B1385" i="4" l="1"/>
  <c r="G1382" i="4"/>
  <c r="G1383" i="4"/>
  <c r="C1385" i="4"/>
  <c r="G1380" i="4" l="1"/>
  <c r="B1380" i="4" l="1"/>
  <c r="C1380" i="4" l="1"/>
  <c r="H64" i="3" l="1" a="1"/>
  <c r="H64" i="3" s="1"/>
  <c r="H75" i="3" l="1"/>
  <c r="H71" i="3"/>
  <c r="H67" i="3"/>
  <c r="H74" i="3"/>
  <c r="H66" i="3"/>
  <c r="H73" i="3"/>
  <c r="H69" i="3"/>
  <c r="H65" i="3"/>
  <c r="H70" i="3"/>
  <c r="H72" i="3"/>
  <c r="H68" i="3"/>
  <c r="G1374" i="4"/>
  <c r="G1376" i="4"/>
  <c r="P2" i="12"/>
  <c r="P3" i="12" s="1"/>
  <c r="AN33" i="11"/>
  <c r="AK33" i="11"/>
  <c r="AH33" i="11"/>
  <c r="AE33" i="11"/>
  <c r="AB33" i="11"/>
  <c r="Y33" i="11"/>
  <c r="V33" i="11"/>
  <c r="S33" i="11"/>
  <c r="P33" i="11"/>
  <c r="M33" i="11"/>
  <c r="J33" i="11"/>
  <c r="G33" i="11"/>
  <c r="D27" i="11"/>
  <c r="G3" i="11"/>
  <c r="D3" i="11"/>
  <c r="D33" i="11" s="1"/>
  <c r="AO33" i="11" s="1"/>
  <c r="J61" i="9"/>
  <c r="J62" i="9" s="1"/>
  <c r="E56" i="9"/>
  <c r="H55" i="9"/>
  <c r="H54" i="9"/>
  <c r="H52" i="9"/>
  <c r="H51" i="9"/>
  <c r="H50" i="9"/>
  <c r="H49" i="9"/>
  <c r="H44" i="9"/>
  <c r="H42" i="9"/>
  <c r="H41" i="9"/>
  <c r="H40" i="9"/>
  <c r="H39" i="9"/>
  <c r="H36" i="9"/>
  <c r="H34" i="9"/>
  <c r="H24" i="9"/>
  <c r="H22" i="9"/>
  <c r="H21" i="9"/>
  <c r="H20" i="9"/>
  <c r="H19" i="9"/>
  <c r="H18" i="9"/>
  <c r="H17" i="9"/>
  <c r="H13" i="9"/>
  <c r="H12" i="9"/>
  <c r="H7" i="9"/>
  <c r="H6" i="9"/>
  <c r="F41" i="8"/>
  <c r="F39" i="8"/>
  <c r="F32" i="8"/>
  <c r="G30" i="8"/>
  <c r="D30" i="8"/>
  <c r="E30" i="8" s="1"/>
  <c r="G29" i="8"/>
  <c r="E29" i="8"/>
  <c r="G28" i="8"/>
  <c r="D28" i="8"/>
  <c r="G27" i="8"/>
  <c r="D27" i="8"/>
  <c r="G26" i="8"/>
  <c r="E26" i="8"/>
  <c r="G25" i="8"/>
  <c r="D25" i="8"/>
  <c r="G24" i="8"/>
  <c r="E24" i="8"/>
  <c r="G21" i="8"/>
  <c r="E21" i="8"/>
  <c r="F19" i="8"/>
  <c r="G19" i="8" s="1"/>
  <c r="D19" i="8"/>
  <c r="D22" i="8" s="1"/>
  <c r="E22" i="8" s="1"/>
  <c r="G18" i="8"/>
  <c r="E18" i="8"/>
  <c r="G17" i="8"/>
  <c r="E17" i="8"/>
  <c r="G16" i="8"/>
  <c r="E16" i="8"/>
  <c r="G15" i="8"/>
  <c r="E15" i="8"/>
  <c r="G14" i="8"/>
  <c r="E14" i="8"/>
  <c r="G13" i="8"/>
  <c r="E13" i="8"/>
  <c r="G12" i="8"/>
  <c r="E12" i="8"/>
  <c r="G11" i="8"/>
  <c r="E11" i="8"/>
  <c r="D9" i="8"/>
  <c r="E8" i="8"/>
  <c r="E7" i="8"/>
  <c r="E6" i="8"/>
  <c r="E5" i="8"/>
  <c r="O36" i="7"/>
  <c r="O37" i="7" s="1"/>
  <c r="H2" i="7"/>
  <c r="P31" i="3" s="1"/>
  <c r="B2" i="7"/>
  <c r="P30" i="3" s="1"/>
  <c r="F27" i="6"/>
  <c r="F22" i="6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E27" i="5"/>
  <c r="B27" i="5"/>
  <c r="B26" i="5"/>
  <c r="B25" i="5"/>
  <c r="B24" i="5"/>
  <c r="B23" i="5"/>
  <c r="B22" i="5"/>
  <c r="E21" i="5"/>
  <c r="B21" i="5"/>
  <c r="B20" i="5"/>
  <c r="B19" i="5"/>
  <c r="E18" i="5"/>
  <c r="B18" i="5"/>
  <c r="E17" i="5"/>
  <c r="B17" i="5"/>
  <c r="B16" i="5"/>
  <c r="E15" i="5"/>
  <c r="B15" i="5"/>
  <c r="B14" i="5"/>
  <c r="B13" i="5"/>
  <c r="B12" i="5"/>
  <c r="B11" i="5"/>
  <c r="B10" i="5"/>
  <c r="B9" i="5"/>
  <c r="B8" i="5"/>
  <c r="B7" i="5"/>
  <c r="B6" i="5"/>
  <c r="B5" i="5"/>
  <c r="E4" i="5"/>
  <c r="B4" i="5"/>
  <c r="B3" i="5"/>
  <c r="B2" i="5"/>
  <c r="B2147" i="4"/>
  <c r="B2146" i="4"/>
  <c r="B2145" i="4"/>
  <c r="B2144" i="4"/>
  <c r="B2143" i="4"/>
  <c r="B2142" i="4"/>
  <c r="B2141" i="4"/>
  <c r="B2140" i="4"/>
  <c r="B2139" i="4"/>
  <c r="B2138" i="4"/>
  <c r="B2137" i="4"/>
  <c r="B2136" i="4"/>
  <c r="B2134" i="4"/>
  <c r="B2133" i="4"/>
  <c r="B2132" i="4"/>
  <c r="B2131" i="4"/>
  <c r="B2130" i="4"/>
  <c r="B2129" i="4"/>
  <c r="B2128" i="4"/>
  <c r="B2127" i="4"/>
  <c r="B2126" i="4"/>
  <c r="B2125" i="4"/>
  <c r="B2124" i="4"/>
  <c r="B2123" i="4"/>
  <c r="B2122" i="4"/>
  <c r="B2121" i="4"/>
  <c r="B2120" i="4"/>
  <c r="B2119" i="4"/>
  <c r="B2118" i="4"/>
  <c r="B2117" i="4"/>
  <c r="B2116" i="4"/>
  <c r="B2115" i="4"/>
  <c r="B2114" i="4"/>
  <c r="B2113" i="4"/>
  <c r="B2112" i="4"/>
  <c r="B2111" i="4"/>
  <c r="B2110" i="4"/>
  <c r="B2109" i="4"/>
  <c r="B2108" i="4"/>
  <c r="B2107" i="4"/>
  <c r="B2106" i="4"/>
  <c r="B2105" i="4"/>
  <c r="B2104" i="4"/>
  <c r="B2103" i="4"/>
  <c r="B2102" i="4"/>
  <c r="B2101" i="4"/>
  <c r="B2100" i="4"/>
  <c r="B2099" i="4"/>
  <c r="B2098" i="4"/>
  <c r="B2097" i="4"/>
  <c r="B2096" i="4"/>
  <c r="B2095" i="4"/>
  <c r="B2094" i="4"/>
  <c r="B2093" i="4"/>
  <c r="B2092" i="4"/>
  <c r="B2091" i="4"/>
  <c r="B2090" i="4"/>
  <c r="B2089" i="4"/>
  <c r="B2088" i="4"/>
  <c r="B2087" i="4"/>
  <c r="B2086" i="4"/>
  <c r="B2085" i="4"/>
  <c r="B2084" i="4"/>
  <c r="B2083" i="4"/>
  <c r="B2082" i="4"/>
  <c r="B2081" i="4"/>
  <c r="B2080" i="4"/>
  <c r="B2079" i="4"/>
  <c r="B2078" i="4"/>
  <c r="B2077" i="4"/>
  <c r="B2076" i="4"/>
  <c r="B2075" i="4"/>
  <c r="B2074" i="4"/>
  <c r="B2073" i="4"/>
  <c r="B2072" i="4"/>
  <c r="B2071" i="4"/>
  <c r="B2070" i="4"/>
  <c r="B2069" i="4"/>
  <c r="B2068" i="4"/>
  <c r="B2067" i="4"/>
  <c r="B2066" i="4"/>
  <c r="B2065" i="4"/>
  <c r="B2064" i="4"/>
  <c r="B2063" i="4"/>
  <c r="B2062" i="4"/>
  <c r="B2061" i="4"/>
  <c r="B2060" i="4"/>
  <c r="B2059" i="4"/>
  <c r="B2058" i="4"/>
  <c r="B2057" i="4"/>
  <c r="B2056" i="4"/>
  <c r="B2055" i="4"/>
  <c r="B2054" i="4"/>
  <c r="B2053" i="4"/>
  <c r="B2052" i="4"/>
  <c r="B2051" i="4"/>
  <c r="B2050" i="4"/>
  <c r="B2049" i="4"/>
  <c r="B2048" i="4"/>
  <c r="B2047" i="4"/>
  <c r="B2046" i="4"/>
  <c r="B2045" i="4"/>
  <c r="B2044" i="4"/>
  <c r="B2043" i="4"/>
  <c r="B2042" i="4"/>
  <c r="B2041" i="4"/>
  <c r="B2040" i="4"/>
  <c r="B2039" i="4"/>
  <c r="B2038" i="4"/>
  <c r="B2037" i="4"/>
  <c r="B2036" i="4"/>
  <c r="B2035" i="4"/>
  <c r="B2034" i="4"/>
  <c r="B2033" i="4"/>
  <c r="B2032" i="4"/>
  <c r="B2031" i="4"/>
  <c r="B2030" i="4"/>
  <c r="B2029" i="4"/>
  <c r="B2028" i="4"/>
  <c r="B2027" i="4"/>
  <c r="B2026" i="4"/>
  <c r="B2025" i="4"/>
  <c r="B2024" i="4"/>
  <c r="B2023" i="4"/>
  <c r="B2022" i="4"/>
  <c r="B2021" i="4"/>
  <c r="B2020" i="4"/>
  <c r="B2019" i="4"/>
  <c r="B2018" i="4"/>
  <c r="B2017" i="4"/>
  <c r="B2016" i="4"/>
  <c r="B2015" i="4"/>
  <c r="B2014" i="4"/>
  <c r="B2013" i="4"/>
  <c r="B2012" i="4"/>
  <c r="B2011" i="4"/>
  <c r="B2010" i="4"/>
  <c r="B2009" i="4"/>
  <c r="B2008" i="4"/>
  <c r="B2007" i="4"/>
  <c r="B2006" i="4"/>
  <c r="B2005" i="4"/>
  <c r="B2004" i="4"/>
  <c r="B2003" i="4"/>
  <c r="B2002" i="4"/>
  <c r="B2001" i="4"/>
  <c r="B2000" i="4"/>
  <c r="B1999" i="4"/>
  <c r="B1998" i="4"/>
  <c r="B1997" i="4"/>
  <c r="B1996" i="4"/>
  <c r="B1995" i="4"/>
  <c r="B1994" i="4"/>
  <c r="B1993" i="4"/>
  <c r="B1992" i="4"/>
  <c r="B1991" i="4"/>
  <c r="B1990" i="4"/>
  <c r="B1989" i="4"/>
  <c r="B1988" i="4"/>
  <c r="B1987" i="4"/>
  <c r="B1986" i="4"/>
  <c r="B1985" i="4"/>
  <c r="B1984" i="4"/>
  <c r="B1983" i="4"/>
  <c r="B1982" i="4"/>
  <c r="B1981" i="4"/>
  <c r="B1980" i="4"/>
  <c r="B1979" i="4"/>
  <c r="B1978" i="4"/>
  <c r="B1977" i="4"/>
  <c r="B1976" i="4"/>
  <c r="B1975" i="4"/>
  <c r="B1974" i="4"/>
  <c r="B1973" i="4"/>
  <c r="B1972" i="4"/>
  <c r="B1971" i="4"/>
  <c r="B1970" i="4"/>
  <c r="B1969" i="4"/>
  <c r="B1968" i="4"/>
  <c r="B1967" i="4"/>
  <c r="B1966" i="4"/>
  <c r="B1965" i="4"/>
  <c r="B1964" i="4"/>
  <c r="B1963" i="4"/>
  <c r="B1962" i="4"/>
  <c r="B1961" i="4"/>
  <c r="B1960" i="4"/>
  <c r="B1959" i="4"/>
  <c r="B1958" i="4"/>
  <c r="B1957" i="4"/>
  <c r="B1956" i="4"/>
  <c r="B1955" i="4"/>
  <c r="B1954" i="4"/>
  <c r="B1953" i="4"/>
  <c r="B1952" i="4"/>
  <c r="B1951" i="4"/>
  <c r="B1950" i="4"/>
  <c r="B1949" i="4"/>
  <c r="B1948" i="4"/>
  <c r="B1947" i="4"/>
  <c r="B1946" i="4"/>
  <c r="B1945" i="4"/>
  <c r="B1944" i="4"/>
  <c r="B1943" i="4"/>
  <c r="B1942" i="4"/>
  <c r="B1941" i="4"/>
  <c r="B1940" i="4"/>
  <c r="B1939" i="4"/>
  <c r="B1938" i="4"/>
  <c r="B1937" i="4"/>
  <c r="B1936" i="4"/>
  <c r="B1935" i="4"/>
  <c r="B1934" i="4"/>
  <c r="B1933" i="4"/>
  <c r="B1932" i="4"/>
  <c r="B1931" i="4"/>
  <c r="B1930" i="4"/>
  <c r="B1929" i="4"/>
  <c r="B1928" i="4"/>
  <c r="B1927" i="4"/>
  <c r="B1926" i="4"/>
  <c r="B1925" i="4"/>
  <c r="B1924" i="4"/>
  <c r="B1923" i="4"/>
  <c r="B1922" i="4"/>
  <c r="B1921" i="4"/>
  <c r="B1920" i="4"/>
  <c r="B1919" i="4"/>
  <c r="B1918" i="4"/>
  <c r="B1917" i="4"/>
  <c r="B1916" i="4"/>
  <c r="B1915" i="4"/>
  <c r="B1914" i="4"/>
  <c r="B1913" i="4"/>
  <c r="B1912" i="4"/>
  <c r="B1911" i="4"/>
  <c r="B1910" i="4"/>
  <c r="B1909" i="4"/>
  <c r="B1908" i="4"/>
  <c r="B1907" i="4"/>
  <c r="B1906" i="4"/>
  <c r="B1905" i="4"/>
  <c r="B1904" i="4"/>
  <c r="B1903" i="4"/>
  <c r="B1902" i="4"/>
  <c r="B1901" i="4"/>
  <c r="B1900" i="4"/>
  <c r="B1899" i="4"/>
  <c r="B1898" i="4"/>
  <c r="B1897" i="4"/>
  <c r="B1896" i="4"/>
  <c r="B1895" i="4"/>
  <c r="B1894" i="4"/>
  <c r="B1893" i="4"/>
  <c r="B1892" i="4"/>
  <c r="B1891" i="4"/>
  <c r="B1890" i="4"/>
  <c r="B1889" i="4"/>
  <c r="B1888" i="4"/>
  <c r="B1887" i="4"/>
  <c r="B1886" i="4"/>
  <c r="B1885" i="4"/>
  <c r="B1884" i="4"/>
  <c r="B1883" i="4"/>
  <c r="B1882" i="4"/>
  <c r="B1881" i="4"/>
  <c r="B1880" i="4"/>
  <c r="B1879" i="4"/>
  <c r="B1878" i="4"/>
  <c r="B1877" i="4"/>
  <c r="B1876" i="4"/>
  <c r="B1875" i="4"/>
  <c r="B1874" i="4"/>
  <c r="B1873" i="4"/>
  <c r="B1872" i="4"/>
  <c r="B1871" i="4"/>
  <c r="B1870" i="4"/>
  <c r="B1869" i="4"/>
  <c r="B1868" i="4"/>
  <c r="B1867" i="4"/>
  <c r="B1866" i="4"/>
  <c r="B1865" i="4"/>
  <c r="B1864" i="4"/>
  <c r="B1863" i="4"/>
  <c r="B1862" i="4"/>
  <c r="B1861" i="4"/>
  <c r="B1860" i="4"/>
  <c r="B1859" i="4"/>
  <c r="B1858" i="4"/>
  <c r="B1857" i="4"/>
  <c r="B1856" i="4"/>
  <c r="B1855" i="4"/>
  <c r="B1854" i="4"/>
  <c r="B1853" i="4"/>
  <c r="B1852" i="4"/>
  <c r="B1851" i="4"/>
  <c r="B1850" i="4"/>
  <c r="B1849" i="4"/>
  <c r="B1848" i="4"/>
  <c r="B1847" i="4"/>
  <c r="B1846" i="4"/>
  <c r="B1845" i="4"/>
  <c r="B1844" i="4"/>
  <c r="B1843" i="4"/>
  <c r="B1842" i="4"/>
  <c r="B1841" i="4"/>
  <c r="B1840" i="4"/>
  <c r="B1839" i="4"/>
  <c r="B1838" i="4"/>
  <c r="B1837" i="4"/>
  <c r="B1836" i="4"/>
  <c r="B1835" i="4"/>
  <c r="B1834" i="4"/>
  <c r="B1833" i="4"/>
  <c r="B1832" i="4"/>
  <c r="B1831" i="4"/>
  <c r="B1830" i="4"/>
  <c r="B1829" i="4"/>
  <c r="B1828" i="4"/>
  <c r="B1827" i="4"/>
  <c r="B1826" i="4"/>
  <c r="B1825" i="4"/>
  <c r="B1824" i="4"/>
  <c r="B1823" i="4"/>
  <c r="B1822" i="4"/>
  <c r="B1821" i="4"/>
  <c r="B1820" i="4"/>
  <c r="B1819" i="4"/>
  <c r="B1818" i="4"/>
  <c r="B1817" i="4"/>
  <c r="B1816" i="4"/>
  <c r="B1815" i="4"/>
  <c r="B1814" i="4"/>
  <c r="B1813" i="4"/>
  <c r="B1812" i="4"/>
  <c r="B1811" i="4"/>
  <c r="B1810" i="4"/>
  <c r="B1809" i="4"/>
  <c r="B1808" i="4"/>
  <c r="B1807" i="4"/>
  <c r="B1806" i="4"/>
  <c r="B1805" i="4"/>
  <c r="B1804" i="4"/>
  <c r="B1803" i="4"/>
  <c r="B1802" i="4"/>
  <c r="B1801" i="4"/>
  <c r="B1800" i="4"/>
  <c r="B1799" i="4"/>
  <c r="B1798" i="4"/>
  <c r="B1797" i="4"/>
  <c r="B1796" i="4"/>
  <c r="B1795" i="4"/>
  <c r="B1794" i="4"/>
  <c r="B1793" i="4"/>
  <c r="B1792" i="4"/>
  <c r="B1791" i="4"/>
  <c r="B1790" i="4"/>
  <c r="B1789" i="4"/>
  <c r="B1788" i="4"/>
  <c r="B1787" i="4"/>
  <c r="B1786" i="4"/>
  <c r="B1785" i="4"/>
  <c r="B1784" i="4"/>
  <c r="B1783" i="4"/>
  <c r="B1782" i="4"/>
  <c r="B1781" i="4"/>
  <c r="B1780" i="4"/>
  <c r="B1779" i="4"/>
  <c r="B1778" i="4"/>
  <c r="B1777" i="4"/>
  <c r="B1776" i="4"/>
  <c r="B1775" i="4"/>
  <c r="B1774" i="4"/>
  <c r="B1773" i="4"/>
  <c r="B1772" i="4"/>
  <c r="B1771" i="4"/>
  <c r="B1770" i="4"/>
  <c r="B1769" i="4"/>
  <c r="B1768" i="4"/>
  <c r="B1767" i="4"/>
  <c r="B1766" i="4"/>
  <c r="B1765" i="4"/>
  <c r="B1764" i="4"/>
  <c r="B1763" i="4"/>
  <c r="B1762" i="4"/>
  <c r="B1761" i="4"/>
  <c r="B1760" i="4"/>
  <c r="B1759" i="4"/>
  <c r="B1758" i="4"/>
  <c r="B1757" i="4"/>
  <c r="B1756" i="4"/>
  <c r="B1755" i="4"/>
  <c r="B1754" i="4"/>
  <c r="B1753" i="4"/>
  <c r="B1752" i="4"/>
  <c r="B1751" i="4"/>
  <c r="B1750" i="4"/>
  <c r="B1749" i="4"/>
  <c r="B1748" i="4"/>
  <c r="B1747" i="4"/>
  <c r="B1746" i="4"/>
  <c r="B1745" i="4"/>
  <c r="B1744" i="4"/>
  <c r="B1743" i="4"/>
  <c r="B1742" i="4"/>
  <c r="B1741" i="4"/>
  <c r="B1740" i="4"/>
  <c r="B1739" i="4"/>
  <c r="B1738" i="4"/>
  <c r="B1737" i="4"/>
  <c r="B1736" i="4"/>
  <c r="B1735" i="4"/>
  <c r="B1734" i="4"/>
  <c r="B1733" i="4"/>
  <c r="B1732" i="4"/>
  <c r="B1731" i="4"/>
  <c r="B1730" i="4"/>
  <c r="B1729" i="4"/>
  <c r="B1728" i="4"/>
  <c r="B1727" i="4"/>
  <c r="B1726" i="4"/>
  <c r="B1725" i="4"/>
  <c r="B1724" i="4"/>
  <c r="B1723" i="4"/>
  <c r="B1722" i="4"/>
  <c r="B1721" i="4"/>
  <c r="B1720" i="4"/>
  <c r="B1719" i="4"/>
  <c r="B1718" i="4"/>
  <c r="B1717" i="4"/>
  <c r="B1716" i="4"/>
  <c r="B1715" i="4"/>
  <c r="B1714" i="4"/>
  <c r="B1713" i="4"/>
  <c r="B1712" i="4"/>
  <c r="B1711" i="4"/>
  <c r="B1710" i="4"/>
  <c r="B1709" i="4"/>
  <c r="B1708" i="4"/>
  <c r="B1707" i="4"/>
  <c r="B1706" i="4"/>
  <c r="B1705" i="4"/>
  <c r="B1704" i="4"/>
  <c r="B1703" i="4"/>
  <c r="B1702" i="4"/>
  <c r="B1701" i="4"/>
  <c r="B1700" i="4"/>
  <c r="B1699" i="4"/>
  <c r="B1698" i="4"/>
  <c r="B1697" i="4"/>
  <c r="B1696" i="4"/>
  <c r="B1695" i="4"/>
  <c r="B1694" i="4"/>
  <c r="B1693" i="4"/>
  <c r="B1692" i="4"/>
  <c r="B1691" i="4"/>
  <c r="B1690" i="4"/>
  <c r="B1689" i="4"/>
  <c r="B1688" i="4"/>
  <c r="B1687" i="4"/>
  <c r="B1686" i="4"/>
  <c r="B1685" i="4"/>
  <c r="B1684" i="4"/>
  <c r="B1683" i="4"/>
  <c r="B1682" i="4"/>
  <c r="B1681" i="4"/>
  <c r="B1680" i="4"/>
  <c r="B1679" i="4"/>
  <c r="B1678" i="4"/>
  <c r="B1677" i="4"/>
  <c r="B1676" i="4"/>
  <c r="B1675" i="4"/>
  <c r="B1674" i="4"/>
  <c r="B1673" i="4"/>
  <c r="B1672" i="4"/>
  <c r="B1671" i="4"/>
  <c r="B1670" i="4"/>
  <c r="B1669" i="4"/>
  <c r="B1668" i="4"/>
  <c r="B1667" i="4"/>
  <c r="B1666" i="4"/>
  <c r="B1665" i="4"/>
  <c r="B1664" i="4"/>
  <c r="B1663" i="4"/>
  <c r="B1662" i="4"/>
  <c r="B1661" i="4"/>
  <c r="B1660" i="4"/>
  <c r="B1659" i="4"/>
  <c r="B1658" i="4"/>
  <c r="B1657" i="4"/>
  <c r="B1656" i="4"/>
  <c r="B1655" i="4"/>
  <c r="B1654" i="4"/>
  <c r="B1653" i="4"/>
  <c r="B1652" i="4"/>
  <c r="B1651" i="4"/>
  <c r="B1650" i="4"/>
  <c r="B1649" i="4"/>
  <c r="B1648" i="4"/>
  <c r="B1647" i="4"/>
  <c r="B1646" i="4"/>
  <c r="B1645" i="4"/>
  <c r="B1644" i="4"/>
  <c r="B1643" i="4"/>
  <c r="B1642" i="4"/>
  <c r="B1641" i="4"/>
  <c r="B1640" i="4"/>
  <c r="B1639" i="4"/>
  <c r="B1638" i="4"/>
  <c r="B1637" i="4"/>
  <c r="B1636" i="4"/>
  <c r="B1635" i="4"/>
  <c r="B1634" i="4"/>
  <c r="B1633" i="4"/>
  <c r="B1632" i="4"/>
  <c r="B1631" i="4"/>
  <c r="B1630" i="4"/>
  <c r="B1629" i="4"/>
  <c r="B1628" i="4"/>
  <c r="B1627" i="4"/>
  <c r="B1626" i="4"/>
  <c r="B1625" i="4"/>
  <c r="B1624" i="4"/>
  <c r="B1623" i="4"/>
  <c r="B1622" i="4"/>
  <c r="B1621" i="4"/>
  <c r="B1620" i="4"/>
  <c r="B1619" i="4"/>
  <c r="B1618" i="4"/>
  <c r="B1617" i="4"/>
  <c r="B1616" i="4"/>
  <c r="B1615" i="4"/>
  <c r="B1614" i="4"/>
  <c r="B1613" i="4"/>
  <c r="B1612" i="4"/>
  <c r="B1611" i="4"/>
  <c r="B1610" i="4"/>
  <c r="B1609" i="4"/>
  <c r="B1608" i="4"/>
  <c r="B1607" i="4"/>
  <c r="B1606" i="4"/>
  <c r="B1605" i="4"/>
  <c r="B1604" i="4"/>
  <c r="B1603" i="4"/>
  <c r="B1602" i="4"/>
  <c r="B1601" i="4"/>
  <c r="B1600" i="4"/>
  <c r="B1599" i="4"/>
  <c r="B1598" i="4"/>
  <c r="B1597" i="4"/>
  <c r="B1596" i="4"/>
  <c r="B1595" i="4"/>
  <c r="B1594" i="4"/>
  <c r="B1593" i="4"/>
  <c r="B1592" i="4"/>
  <c r="B1591" i="4"/>
  <c r="B1590" i="4"/>
  <c r="B1589" i="4"/>
  <c r="B1588" i="4"/>
  <c r="B1587" i="4"/>
  <c r="B1586" i="4"/>
  <c r="B1585" i="4"/>
  <c r="B1584" i="4"/>
  <c r="B1583" i="4"/>
  <c r="B1582" i="4"/>
  <c r="B1581" i="4"/>
  <c r="B1580" i="4"/>
  <c r="B1579" i="4"/>
  <c r="B1578" i="4"/>
  <c r="B1577" i="4"/>
  <c r="B1576" i="4"/>
  <c r="B1575" i="4"/>
  <c r="B1574" i="4"/>
  <c r="B1573" i="4"/>
  <c r="B1572" i="4"/>
  <c r="B1571" i="4"/>
  <c r="B1570" i="4"/>
  <c r="B1569" i="4"/>
  <c r="B1568" i="4"/>
  <c r="B1567" i="4"/>
  <c r="B1566" i="4"/>
  <c r="B1565" i="4"/>
  <c r="B1564" i="4"/>
  <c r="B1563" i="4"/>
  <c r="B1562" i="4"/>
  <c r="B1561" i="4"/>
  <c r="B1560" i="4"/>
  <c r="B1559" i="4"/>
  <c r="B1558" i="4"/>
  <c r="B1557" i="4"/>
  <c r="B1556" i="4"/>
  <c r="B1555" i="4"/>
  <c r="B1554" i="4"/>
  <c r="B1553" i="4"/>
  <c r="B1552" i="4"/>
  <c r="B1551" i="4"/>
  <c r="B1550" i="4"/>
  <c r="B1549" i="4"/>
  <c r="B1548" i="4"/>
  <c r="C1547" i="4"/>
  <c r="B1547" i="4"/>
  <c r="C1546" i="4"/>
  <c r="B1546" i="4"/>
  <c r="C1545" i="4"/>
  <c r="B1545" i="4"/>
  <c r="C1544" i="4"/>
  <c r="B1544" i="4"/>
  <c r="C1543" i="4"/>
  <c r="B1543" i="4"/>
  <c r="C1542" i="4"/>
  <c r="B1542" i="4"/>
  <c r="C1541" i="4"/>
  <c r="B1541" i="4"/>
  <c r="C1540" i="4"/>
  <c r="B1540" i="4"/>
  <c r="C1539" i="4"/>
  <c r="B1539" i="4"/>
  <c r="C1538" i="4"/>
  <c r="B1538" i="4"/>
  <c r="C1537" i="4"/>
  <c r="B1537" i="4"/>
  <c r="C1536" i="4"/>
  <c r="B1536" i="4"/>
  <c r="C1535" i="4"/>
  <c r="B1535" i="4"/>
  <c r="C1534" i="4"/>
  <c r="B1534" i="4"/>
  <c r="C1533" i="4"/>
  <c r="B1533" i="4"/>
  <c r="C1532" i="4"/>
  <c r="B1532" i="4"/>
  <c r="C1531" i="4"/>
  <c r="B1531" i="4"/>
  <c r="C1530" i="4"/>
  <c r="B1530" i="4"/>
  <c r="C1529" i="4"/>
  <c r="B1529" i="4"/>
  <c r="C1528" i="4"/>
  <c r="B1528" i="4"/>
  <c r="C1527" i="4"/>
  <c r="B1527" i="4"/>
  <c r="C1526" i="4"/>
  <c r="B1526" i="4"/>
  <c r="C1525" i="4"/>
  <c r="B1525" i="4"/>
  <c r="C1524" i="4"/>
  <c r="B1524" i="4"/>
  <c r="C1523" i="4"/>
  <c r="B1523" i="4"/>
  <c r="C1522" i="4"/>
  <c r="B1522" i="4"/>
  <c r="C1521" i="4"/>
  <c r="B1521" i="4"/>
  <c r="C1520" i="4"/>
  <c r="B1520" i="4"/>
  <c r="C1519" i="4"/>
  <c r="B1519" i="4"/>
  <c r="C1518" i="4"/>
  <c r="B1518" i="4"/>
  <c r="C1517" i="4"/>
  <c r="B1517" i="4"/>
  <c r="C1516" i="4"/>
  <c r="B1516" i="4"/>
  <c r="C1515" i="4"/>
  <c r="B1515" i="4"/>
  <c r="C1514" i="4"/>
  <c r="B1514" i="4"/>
  <c r="C1513" i="4"/>
  <c r="B1513" i="4"/>
  <c r="C1512" i="4"/>
  <c r="B1512" i="4"/>
  <c r="C1511" i="4"/>
  <c r="B1511" i="4"/>
  <c r="C1510" i="4"/>
  <c r="B1510" i="4"/>
  <c r="C1509" i="4"/>
  <c r="B1509" i="4"/>
  <c r="C1508" i="4"/>
  <c r="B1508" i="4"/>
  <c r="C1507" i="4"/>
  <c r="B1507" i="4"/>
  <c r="C1506" i="4"/>
  <c r="B1506" i="4"/>
  <c r="C1505" i="4"/>
  <c r="B1505" i="4"/>
  <c r="C1504" i="4"/>
  <c r="B1504" i="4"/>
  <c r="C1503" i="4"/>
  <c r="B1503" i="4"/>
  <c r="C1502" i="4"/>
  <c r="B1502" i="4"/>
  <c r="C1501" i="4"/>
  <c r="B1501" i="4"/>
  <c r="C1500" i="4"/>
  <c r="B1500" i="4"/>
  <c r="C1499" i="4"/>
  <c r="B1499" i="4"/>
  <c r="C1498" i="4"/>
  <c r="B1498" i="4"/>
  <c r="C1497" i="4"/>
  <c r="B1497" i="4"/>
  <c r="C1496" i="4"/>
  <c r="B1496" i="4"/>
  <c r="C1495" i="4"/>
  <c r="B1495" i="4"/>
  <c r="C1494" i="4"/>
  <c r="B1494" i="4"/>
  <c r="C1493" i="4"/>
  <c r="B1493" i="4"/>
  <c r="C1492" i="4"/>
  <c r="B1492" i="4"/>
  <c r="C1491" i="4"/>
  <c r="B1491" i="4"/>
  <c r="C1490" i="4"/>
  <c r="B1490" i="4"/>
  <c r="C1489" i="4"/>
  <c r="B1489" i="4"/>
  <c r="C1488" i="4"/>
  <c r="B1488" i="4"/>
  <c r="C1487" i="4"/>
  <c r="B1487" i="4"/>
  <c r="C1486" i="4"/>
  <c r="B1486" i="4"/>
  <c r="C1485" i="4"/>
  <c r="B1485" i="4"/>
  <c r="C1484" i="4"/>
  <c r="B1484" i="4"/>
  <c r="C1483" i="4"/>
  <c r="B1483" i="4"/>
  <c r="C1482" i="4"/>
  <c r="B1482" i="4"/>
  <c r="C1481" i="4"/>
  <c r="B1481" i="4"/>
  <c r="C1480" i="4"/>
  <c r="B1480" i="4"/>
  <c r="C1479" i="4"/>
  <c r="B1479" i="4"/>
  <c r="C1478" i="4"/>
  <c r="B1478" i="4"/>
  <c r="C1477" i="4"/>
  <c r="B1477" i="4"/>
  <c r="C1476" i="4"/>
  <c r="B1476" i="4"/>
  <c r="C1475" i="4"/>
  <c r="B1475" i="4"/>
  <c r="C1474" i="4"/>
  <c r="B1474" i="4"/>
  <c r="C1473" i="4"/>
  <c r="B1473" i="4"/>
  <c r="C1472" i="4"/>
  <c r="B1472" i="4"/>
  <c r="C1471" i="4"/>
  <c r="B1471" i="4"/>
  <c r="C1470" i="4"/>
  <c r="B1470" i="4"/>
  <c r="C1469" i="4"/>
  <c r="B1469" i="4"/>
  <c r="C1468" i="4"/>
  <c r="B1468" i="4"/>
  <c r="C1467" i="4"/>
  <c r="B1467" i="4"/>
  <c r="C1466" i="4"/>
  <c r="B1466" i="4"/>
  <c r="C1465" i="4"/>
  <c r="B1465" i="4"/>
  <c r="C1464" i="4"/>
  <c r="B1464" i="4"/>
  <c r="C1463" i="4"/>
  <c r="B1463" i="4"/>
  <c r="C1462" i="4"/>
  <c r="B1462" i="4"/>
  <c r="C1461" i="4"/>
  <c r="B1461" i="4"/>
  <c r="C1460" i="4"/>
  <c r="B1460" i="4"/>
  <c r="C1459" i="4"/>
  <c r="B1459" i="4"/>
  <c r="C1458" i="4"/>
  <c r="B1458" i="4"/>
  <c r="C1457" i="4"/>
  <c r="B1457" i="4"/>
  <c r="C1456" i="4"/>
  <c r="B1456" i="4"/>
  <c r="C1455" i="4"/>
  <c r="B1455" i="4"/>
  <c r="C1454" i="4"/>
  <c r="B1454" i="4"/>
  <c r="C1453" i="4"/>
  <c r="B1453" i="4"/>
  <c r="C1452" i="4"/>
  <c r="B1452" i="4"/>
  <c r="C1451" i="4"/>
  <c r="B1451" i="4"/>
  <c r="C1450" i="4"/>
  <c r="B1450" i="4"/>
  <c r="C1449" i="4"/>
  <c r="B1449" i="4"/>
  <c r="C1448" i="4"/>
  <c r="B1448" i="4"/>
  <c r="C1447" i="4"/>
  <c r="B1447" i="4"/>
  <c r="C1446" i="4"/>
  <c r="B1446" i="4"/>
  <c r="C1445" i="4"/>
  <c r="B1445" i="4"/>
  <c r="C1444" i="4"/>
  <c r="B1444" i="4"/>
  <c r="C1443" i="4"/>
  <c r="B1443" i="4"/>
  <c r="C1442" i="4"/>
  <c r="B1442" i="4"/>
  <c r="C1441" i="4"/>
  <c r="B1441" i="4"/>
  <c r="C1440" i="4"/>
  <c r="B1440" i="4"/>
  <c r="C1439" i="4"/>
  <c r="B1439" i="4"/>
  <c r="C1438" i="4"/>
  <c r="B1438" i="4"/>
  <c r="C1437" i="4"/>
  <c r="B1437" i="4"/>
  <c r="C1436" i="4"/>
  <c r="B1436" i="4"/>
  <c r="C1435" i="4"/>
  <c r="B1435" i="4"/>
  <c r="C1434" i="4"/>
  <c r="B1434" i="4"/>
  <c r="C1433" i="4"/>
  <c r="B1433" i="4"/>
  <c r="C1432" i="4"/>
  <c r="B1432" i="4"/>
  <c r="C1431" i="4"/>
  <c r="B1431" i="4"/>
  <c r="C1430" i="4"/>
  <c r="B1430" i="4"/>
  <c r="C1429" i="4"/>
  <c r="B1429" i="4"/>
  <c r="C1428" i="4"/>
  <c r="B1428" i="4"/>
  <c r="C1427" i="4"/>
  <c r="B1427" i="4"/>
  <c r="C1426" i="4"/>
  <c r="B1426" i="4"/>
  <c r="C1425" i="4"/>
  <c r="B1425" i="4"/>
  <c r="C1424" i="4"/>
  <c r="B1424" i="4"/>
  <c r="C1423" i="4"/>
  <c r="B1423" i="4"/>
  <c r="C1422" i="4"/>
  <c r="B1422" i="4"/>
  <c r="C1421" i="4"/>
  <c r="B1421" i="4"/>
  <c r="C1420" i="4"/>
  <c r="B1420" i="4"/>
  <c r="C1419" i="4"/>
  <c r="B1419" i="4"/>
  <c r="C1418" i="4"/>
  <c r="B1418" i="4"/>
  <c r="C1417" i="4"/>
  <c r="B1417" i="4"/>
  <c r="C1416" i="4"/>
  <c r="B1416" i="4"/>
  <c r="C1415" i="4"/>
  <c r="B1415" i="4"/>
  <c r="C1414" i="4"/>
  <c r="B1414" i="4"/>
  <c r="C1413" i="4"/>
  <c r="B1413" i="4"/>
  <c r="C1412" i="4"/>
  <c r="B1412" i="4"/>
  <c r="C1411" i="4"/>
  <c r="B1411" i="4"/>
  <c r="C1410" i="4"/>
  <c r="B1410" i="4"/>
  <c r="C1408" i="4"/>
  <c r="B1408" i="4"/>
  <c r="C1407" i="4"/>
  <c r="B1407" i="4"/>
  <c r="C1406" i="4"/>
  <c r="B1406" i="4"/>
  <c r="C1405" i="4"/>
  <c r="B1405" i="4"/>
  <c r="C1404" i="4"/>
  <c r="B1404" i="4"/>
  <c r="C1403" i="4"/>
  <c r="B1403" i="4"/>
  <c r="C1402" i="4"/>
  <c r="B1402" i="4"/>
  <c r="C1401" i="4"/>
  <c r="B1401" i="4"/>
  <c r="C1400" i="4"/>
  <c r="B1400" i="4"/>
  <c r="C1399" i="4"/>
  <c r="B1399" i="4"/>
  <c r="C1398" i="4"/>
  <c r="B1398" i="4"/>
  <c r="C1397" i="4"/>
  <c r="B1397" i="4"/>
  <c r="C1396" i="4"/>
  <c r="B1396" i="4"/>
  <c r="C1395" i="4"/>
  <c r="B1395" i="4"/>
  <c r="C1394" i="4"/>
  <c r="B1394" i="4"/>
  <c r="C1393" i="4"/>
  <c r="B1393" i="4"/>
  <c r="C1392" i="4"/>
  <c r="B1392" i="4"/>
  <c r="C1391" i="4"/>
  <c r="B1391" i="4"/>
  <c r="C1390" i="4"/>
  <c r="B1390" i="4"/>
  <c r="C1389" i="4"/>
  <c r="B1389" i="4"/>
  <c r="C1388" i="4"/>
  <c r="B1388" i="4"/>
  <c r="C1387" i="4"/>
  <c r="B1387" i="4"/>
  <c r="C1384" i="4"/>
  <c r="B1384" i="4"/>
  <c r="C1383" i="4"/>
  <c r="B1383" i="4"/>
  <c r="C1382" i="4"/>
  <c r="B1382" i="4"/>
  <c r="C1381" i="4"/>
  <c r="B1381" i="4"/>
  <c r="C1379" i="4"/>
  <c r="B1379" i="4"/>
  <c r="C1378" i="4"/>
  <c r="B1378" i="4"/>
  <c r="C1377" i="4"/>
  <c r="B1377" i="4"/>
  <c r="C1376" i="4"/>
  <c r="B1376" i="4"/>
  <c r="C1375" i="4"/>
  <c r="B1375" i="4"/>
  <c r="C1374" i="4"/>
  <c r="B1374" i="4"/>
  <c r="C1373" i="4"/>
  <c r="B1373" i="4"/>
  <c r="C1372" i="4"/>
  <c r="B1372" i="4"/>
  <c r="C1371" i="4"/>
  <c r="B1371" i="4"/>
  <c r="C1370" i="4"/>
  <c r="B1370" i="4"/>
  <c r="C1369" i="4"/>
  <c r="B1369" i="4"/>
  <c r="C1368" i="4"/>
  <c r="B1368" i="4"/>
  <c r="C1367" i="4"/>
  <c r="B1367" i="4"/>
  <c r="C1366" i="4"/>
  <c r="B1366" i="4"/>
  <c r="C1365" i="4"/>
  <c r="B1365" i="4"/>
  <c r="C1364" i="4"/>
  <c r="B1364" i="4"/>
  <c r="C1363" i="4"/>
  <c r="B1363" i="4"/>
  <c r="C1362" i="4"/>
  <c r="B1362" i="4"/>
  <c r="C1361" i="4"/>
  <c r="B1361" i="4"/>
  <c r="C1360" i="4"/>
  <c r="B1360" i="4"/>
  <c r="C1359" i="4"/>
  <c r="B1359" i="4"/>
  <c r="G1358" i="4"/>
  <c r="C1358" i="4"/>
  <c r="B1358" i="4"/>
  <c r="C1357" i="4"/>
  <c r="B1357" i="4"/>
  <c r="C1356" i="4"/>
  <c r="B1356" i="4"/>
  <c r="C1355" i="4"/>
  <c r="B1355" i="4"/>
  <c r="C1354" i="4"/>
  <c r="B1354" i="4"/>
  <c r="C1353" i="4"/>
  <c r="B1353" i="4"/>
  <c r="C1352" i="4"/>
  <c r="B1352" i="4"/>
  <c r="G1351" i="4"/>
  <c r="C1351" i="4"/>
  <c r="B1351" i="4"/>
  <c r="C1350" i="4"/>
  <c r="B1350" i="4"/>
  <c r="C1349" i="4"/>
  <c r="B1349" i="4"/>
  <c r="C1348" i="4"/>
  <c r="B1348" i="4"/>
  <c r="C1347" i="4"/>
  <c r="B1347" i="4"/>
  <c r="G1346" i="4"/>
  <c r="C1346" i="4"/>
  <c r="B1346" i="4"/>
  <c r="C1345" i="4"/>
  <c r="B1345" i="4"/>
  <c r="C1344" i="4"/>
  <c r="B1344" i="4"/>
  <c r="C1343" i="4"/>
  <c r="B1343" i="4"/>
  <c r="C1342" i="4"/>
  <c r="B1342" i="4"/>
  <c r="C1341" i="4"/>
  <c r="B1341" i="4"/>
  <c r="C1340" i="4"/>
  <c r="B1340" i="4"/>
  <c r="C1339" i="4"/>
  <c r="B1339" i="4"/>
  <c r="C1338" i="4"/>
  <c r="B1338" i="4"/>
  <c r="C1337" i="4"/>
  <c r="B1337" i="4"/>
  <c r="G1336" i="4"/>
  <c r="C1336" i="4"/>
  <c r="B1336" i="4"/>
  <c r="C1335" i="4"/>
  <c r="B1335" i="4"/>
  <c r="C1334" i="4"/>
  <c r="B1334" i="4"/>
  <c r="C1333" i="4"/>
  <c r="B1333" i="4"/>
  <c r="C1332" i="4"/>
  <c r="B1332" i="4"/>
  <c r="C1331" i="4"/>
  <c r="B1331" i="4"/>
  <c r="C1330" i="4"/>
  <c r="B1330" i="4"/>
  <c r="C1329" i="4"/>
  <c r="B1329" i="4"/>
  <c r="C1328" i="4"/>
  <c r="B1328" i="4"/>
  <c r="C1327" i="4"/>
  <c r="B1327" i="4"/>
  <c r="C1326" i="4"/>
  <c r="B1326" i="4"/>
  <c r="C1325" i="4"/>
  <c r="B1325" i="4"/>
  <c r="C1324" i="4"/>
  <c r="B1324" i="4"/>
  <c r="C1323" i="4"/>
  <c r="B1323" i="4"/>
  <c r="C1322" i="4"/>
  <c r="B1322" i="4"/>
  <c r="C1321" i="4"/>
  <c r="B1321" i="4"/>
  <c r="C1320" i="4"/>
  <c r="B1320" i="4"/>
  <c r="G1319" i="4"/>
  <c r="C1319" i="4"/>
  <c r="B1319" i="4"/>
  <c r="C1318" i="4"/>
  <c r="B1318" i="4"/>
  <c r="C1317" i="4"/>
  <c r="B1317" i="4"/>
  <c r="C1316" i="4"/>
  <c r="B1316" i="4"/>
  <c r="C1315" i="4"/>
  <c r="B1315" i="4"/>
  <c r="G1314" i="4"/>
  <c r="C1314" i="4"/>
  <c r="B1314" i="4"/>
  <c r="G1313" i="4"/>
  <c r="C1313" i="4"/>
  <c r="B1313" i="4"/>
  <c r="C1312" i="4"/>
  <c r="B1312" i="4"/>
  <c r="C1311" i="4"/>
  <c r="B1311" i="4"/>
  <c r="C1310" i="4"/>
  <c r="B1310" i="4"/>
  <c r="C1309" i="4"/>
  <c r="B1309" i="4"/>
  <c r="G1308" i="4"/>
  <c r="C1308" i="4"/>
  <c r="B1308" i="4"/>
  <c r="C1307" i="4"/>
  <c r="B1307" i="4"/>
  <c r="C1306" i="4"/>
  <c r="B1306" i="4"/>
  <c r="C1305" i="4"/>
  <c r="B1305" i="4"/>
  <c r="G1304" i="4"/>
  <c r="C1304" i="4"/>
  <c r="B1304" i="4"/>
  <c r="C1303" i="4"/>
  <c r="B1303" i="4"/>
  <c r="G1302" i="4"/>
  <c r="C1302" i="4"/>
  <c r="B1302" i="4"/>
  <c r="C1301" i="4"/>
  <c r="B1301" i="4"/>
  <c r="G1300" i="4"/>
  <c r="C1300" i="4"/>
  <c r="B1300" i="4"/>
  <c r="C1299" i="4"/>
  <c r="B1299" i="4"/>
  <c r="G1298" i="4"/>
  <c r="C1298" i="4"/>
  <c r="B1298" i="4"/>
  <c r="C1297" i="4"/>
  <c r="B1297" i="4"/>
  <c r="C1296" i="4"/>
  <c r="B1296" i="4"/>
  <c r="C1295" i="4"/>
  <c r="B1295" i="4"/>
  <c r="C1294" i="4"/>
  <c r="B1294" i="4"/>
  <c r="G1293" i="4"/>
  <c r="C1293" i="4"/>
  <c r="B1293" i="4"/>
  <c r="C1292" i="4"/>
  <c r="B1292" i="4"/>
  <c r="C1291" i="4"/>
  <c r="B1291" i="4"/>
  <c r="C1290" i="4"/>
  <c r="B1290" i="4"/>
  <c r="C1289" i="4"/>
  <c r="B1289" i="4"/>
  <c r="C1288" i="4"/>
  <c r="B1288" i="4"/>
  <c r="G1287" i="4"/>
  <c r="C1287" i="4"/>
  <c r="B1287" i="4"/>
  <c r="G1286" i="4"/>
  <c r="C1286" i="4"/>
  <c r="B1286" i="4"/>
  <c r="C1285" i="4"/>
  <c r="B1285" i="4"/>
  <c r="C1284" i="4"/>
  <c r="B1284" i="4"/>
  <c r="C1283" i="4"/>
  <c r="B1283" i="4"/>
  <c r="C1282" i="4"/>
  <c r="B1282" i="4"/>
  <c r="C1281" i="4"/>
  <c r="B1281" i="4"/>
  <c r="C1280" i="4"/>
  <c r="B1280" i="4"/>
  <c r="C1279" i="4"/>
  <c r="B1279" i="4"/>
  <c r="C1278" i="4"/>
  <c r="B1278" i="4"/>
  <c r="C1277" i="4"/>
  <c r="B1277" i="4"/>
  <c r="C1276" i="4"/>
  <c r="B1276" i="4"/>
  <c r="C1275" i="4"/>
  <c r="B1275" i="4"/>
  <c r="C1274" i="4"/>
  <c r="B1274" i="4"/>
  <c r="C1273" i="4"/>
  <c r="B1273" i="4"/>
  <c r="C1272" i="4"/>
  <c r="B1272" i="4"/>
  <c r="G1271" i="4"/>
  <c r="C1271" i="4"/>
  <c r="B1271" i="4"/>
  <c r="C1270" i="4"/>
  <c r="B1270" i="4"/>
  <c r="C1269" i="4"/>
  <c r="B1269" i="4"/>
  <c r="C1268" i="4"/>
  <c r="B1268" i="4"/>
  <c r="C1267" i="4"/>
  <c r="B1267" i="4"/>
  <c r="C1266" i="4"/>
  <c r="B1266" i="4"/>
  <c r="C1265" i="4"/>
  <c r="B1265" i="4"/>
  <c r="G1264" i="4"/>
  <c r="C1264" i="4"/>
  <c r="B1264" i="4"/>
  <c r="C1263" i="4"/>
  <c r="B1263" i="4"/>
  <c r="C1262" i="4"/>
  <c r="B1262" i="4"/>
  <c r="C1261" i="4"/>
  <c r="B1261" i="4"/>
  <c r="C1260" i="4"/>
  <c r="B1260" i="4"/>
  <c r="C1259" i="4"/>
  <c r="B1259" i="4"/>
  <c r="G1258" i="4"/>
  <c r="C1258" i="4"/>
  <c r="B1258" i="4"/>
  <c r="C1257" i="4"/>
  <c r="B1257" i="4"/>
  <c r="G1256" i="4"/>
  <c r="C1256" i="4"/>
  <c r="B1256" i="4"/>
  <c r="C1255" i="4"/>
  <c r="B1255" i="4"/>
  <c r="C1254" i="4"/>
  <c r="B1254" i="4"/>
  <c r="G1253" i="4"/>
  <c r="C1253" i="4"/>
  <c r="B1253" i="4"/>
  <c r="C1252" i="4"/>
  <c r="B1252" i="4"/>
  <c r="C1251" i="4"/>
  <c r="B1251" i="4"/>
  <c r="G1250" i="4"/>
  <c r="C1250" i="4"/>
  <c r="B1250" i="4"/>
  <c r="C1249" i="4"/>
  <c r="B1249" i="4"/>
  <c r="C1248" i="4"/>
  <c r="B1248" i="4"/>
  <c r="C1247" i="4"/>
  <c r="B1247" i="4"/>
  <c r="C1246" i="4"/>
  <c r="B1246" i="4"/>
  <c r="C1245" i="4"/>
  <c r="B1245" i="4"/>
  <c r="G1244" i="4"/>
  <c r="C1244" i="4"/>
  <c r="B1244" i="4"/>
  <c r="C1243" i="4"/>
  <c r="B1243" i="4"/>
  <c r="C1242" i="4"/>
  <c r="B1242" i="4"/>
  <c r="G1241" i="4"/>
  <c r="C1241" i="4"/>
  <c r="B1241" i="4"/>
  <c r="C1240" i="4"/>
  <c r="B1240" i="4"/>
  <c r="C1239" i="4"/>
  <c r="B1239" i="4"/>
  <c r="C1238" i="4"/>
  <c r="B1238" i="4"/>
  <c r="C1237" i="4"/>
  <c r="B1237" i="4"/>
  <c r="C1236" i="4"/>
  <c r="B1236" i="4"/>
  <c r="C1235" i="4"/>
  <c r="B1235" i="4"/>
  <c r="C1234" i="4"/>
  <c r="B1234" i="4"/>
  <c r="C1233" i="4"/>
  <c r="B1233" i="4"/>
  <c r="C1232" i="4"/>
  <c r="B1232" i="4"/>
  <c r="C1231" i="4"/>
  <c r="B1231" i="4"/>
  <c r="C1230" i="4"/>
  <c r="B1230" i="4"/>
  <c r="C1229" i="4"/>
  <c r="B1229" i="4"/>
  <c r="G1228" i="4"/>
  <c r="C1228" i="4"/>
  <c r="B1228" i="4"/>
  <c r="C1227" i="4"/>
  <c r="B1227" i="4"/>
  <c r="C1226" i="4"/>
  <c r="B1226" i="4"/>
  <c r="G1225" i="4"/>
  <c r="C1225" i="4"/>
  <c r="B1225" i="4"/>
  <c r="C1224" i="4"/>
  <c r="B1224" i="4"/>
  <c r="C1223" i="4"/>
  <c r="B1223" i="4"/>
  <c r="C1222" i="4"/>
  <c r="B1222" i="4"/>
  <c r="C1221" i="4"/>
  <c r="B1221" i="4"/>
  <c r="C1220" i="4"/>
  <c r="B1220" i="4"/>
  <c r="C1219" i="4"/>
  <c r="B1219" i="4"/>
  <c r="C1218" i="4"/>
  <c r="B1218" i="4"/>
  <c r="C1217" i="4"/>
  <c r="B1217" i="4"/>
  <c r="C1216" i="4"/>
  <c r="B1216" i="4"/>
  <c r="C1215" i="4"/>
  <c r="B1215" i="4"/>
  <c r="C1214" i="4"/>
  <c r="B1214" i="4"/>
  <c r="C1213" i="4"/>
  <c r="B1213" i="4"/>
  <c r="C1212" i="4"/>
  <c r="B1212" i="4"/>
  <c r="C1211" i="4"/>
  <c r="B1211" i="4"/>
  <c r="C1210" i="4"/>
  <c r="B1210" i="4"/>
  <c r="C1209" i="4"/>
  <c r="B1209" i="4"/>
  <c r="G1208" i="4"/>
  <c r="C1208" i="4"/>
  <c r="B1208" i="4"/>
  <c r="C1207" i="4"/>
  <c r="B1207" i="4"/>
  <c r="C1206" i="4"/>
  <c r="B1206" i="4"/>
  <c r="C1205" i="4"/>
  <c r="B1205" i="4"/>
  <c r="C1204" i="4"/>
  <c r="B1204" i="4"/>
  <c r="C1203" i="4"/>
  <c r="B1203" i="4"/>
  <c r="C1202" i="4"/>
  <c r="B1202" i="4"/>
  <c r="C1201" i="4"/>
  <c r="B1201" i="4"/>
  <c r="C1200" i="4"/>
  <c r="B1200" i="4"/>
  <c r="C1199" i="4"/>
  <c r="B1199" i="4"/>
  <c r="C1198" i="4"/>
  <c r="B1198" i="4"/>
  <c r="C1197" i="4"/>
  <c r="B1197" i="4"/>
  <c r="C1196" i="4"/>
  <c r="B1196" i="4"/>
  <c r="C1195" i="4"/>
  <c r="B1195" i="4"/>
  <c r="C1194" i="4"/>
  <c r="B1194" i="4"/>
  <c r="C1193" i="4"/>
  <c r="B1193" i="4"/>
  <c r="C1192" i="4"/>
  <c r="B1192" i="4"/>
  <c r="C1191" i="4"/>
  <c r="B1191" i="4"/>
  <c r="G1190" i="4"/>
  <c r="C1190" i="4"/>
  <c r="B1190" i="4"/>
  <c r="C1189" i="4"/>
  <c r="B1189" i="4"/>
  <c r="G1188" i="4"/>
  <c r="C1188" i="4"/>
  <c r="B1188" i="4"/>
  <c r="C1187" i="4"/>
  <c r="B1187" i="4"/>
  <c r="C1186" i="4"/>
  <c r="B1186" i="4"/>
  <c r="C1185" i="4"/>
  <c r="B1185" i="4"/>
  <c r="C1184" i="4"/>
  <c r="B1184" i="4"/>
  <c r="C1183" i="4"/>
  <c r="B1183" i="4"/>
  <c r="C1182" i="4"/>
  <c r="B1182" i="4"/>
  <c r="G1181" i="4"/>
  <c r="C1181" i="4"/>
  <c r="B1181" i="4"/>
  <c r="C1180" i="4"/>
  <c r="B1180" i="4"/>
  <c r="C1179" i="4"/>
  <c r="B1179" i="4"/>
  <c r="C1178" i="4"/>
  <c r="B1178" i="4"/>
  <c r="G1177" i="4"/>
  <c r="C1177" i="4"/>
  <c r="B1177" i="4"/>
  <c r="G1176" i="4"/>
  <c r="C1176" i="4"/>
  <c r="B1176" i="4"/>
  <c r="C1175" i="4"/>
  <c r="B1175" i="4"/>
  <c r="C1174" i="4"/>
  <c r="B1174" i="4"/>
  <c r="C1173" i="4"/>
  <c r="B1173" i="4"/>
  <c r="C1172" i="4"/>
  <c r="B1172" i="4"/>
  <c r="C1171" i="4"/>
  <c r="B1171" i="4"/>
  <c r="C1170" i="4"/>
  <c r="B1170" i="4"/>
  <c r="C1169" i="4"/>
  <c r="B1169" i="4"/>
  <c r="C1168" i="4"/>
  <c r="B1168" i="4"/>
  <c r="C1167" i="4"/>
  <c r="B1167" i="4"/>
  <c r="C1166" i="4"/>
  <c r="B1166" i="4"/>
  <c r="C1165" i="4"/>
  <c r="B1165" i="4"/>
  <c r="C1164" i="4"/>
  <c r="B1164" i="4"/>
  <c r="C1163" i="4"/>
  <c r="B1163" i="4"/>
  <c r="G1162" i="4"/>
  <c r="C1162" i="4"/>
  <c r="B1162" i="4"/>
  <c r="G1161" i="4"/>
  <c r="C1161" i="4"/>
  <c r="B1161" i="4"/>
  <c r="C1160" i="4"/>
  <c r="B1160" i="4"/>
  <c r="G1159" i="4"/>
  <c r="C1159" i="4"/>
  <c r="B1159" i="4"/>
  <c r="C1158" i="4"/>
  <c r="B1158" i="4"/>
  <c r="C1157" i="4"/>
  <c r="B1157" i="4"/>
  <c r="G1156" i="4"/>
  <c r="C1156" i="4"/>
  <c r="B1156" i="4"/>
  <c r="C1155" i="4"/>
  <c r="B1155" i="4"/>
  <c r="C1154" i="4"/>
  <c r="B1154" i="4"/>
  <c r="C1153" i="4"/>
  <c r="B1153" i="4"/>
  <c r="C1152" i="4"/>
  <c r="B1152" i="4"/>
  <c r="C1151" i="4"/>
  <c r="B1151" i="4"/>
  <c r="C1150" i="4"/>
  <c r="B1150" i="4"/>
  <c r="C1149" i="4"/>
  <c r="B1149" i="4"/>
  <c r="C1148" i="4"/>
  <c r="B1148" i="4"/>
  <c r="C1147" i="4"/>
  <c r="B1147" i="4"/>
  <c r="C1146" i="4"/>
  <c r="B1146" i="4"/>
  <c r="C1145" i="4"/>
  <c r="B1145" i="4"/>
  <c r="C1144" i="4"/>
  <c r="B1144" i="4"/>
  <c r="G1143" i="4"/>
  <c r="C1143" i="4"/>
  <c r="B1143" i="4"/>
  <c r="C1142" i="4"/>
  <c r="B1142" i="4"/>
  <c r="G1141" i="4"/>
  <c r="C1141" i="4"/>
  <c r="B1141" i="4"/>
  <c r="C1140" i="4"/>
  <c r="B1140" i="4"/>
  <c r="C1139" i="4"/>
  <c r="B1139" i="4"/>
  <c r="C1138" i="4"/>
  <c r="B1138" i="4"/>
  <c r="C1137" i="4"/>
  <c r="B1137" i="4"/>
  <c r="C1136" i="4"/>
  <c r="B1136" i="4"/>
  <c r="C1135" i="4"/>
  <c r="B1135" i="4"/>
  <c r="G1134" i="4"/>
  <c r="C1134" i="4"/>
  <c r="B1134" i="4"/>
  <c r="C1133" i="4"/>
  <c r="B1133" i="4"/>
  <c r="C1132" i="4"/>
  <c r="B1132" i="4"/>
  <c r="C1131" i="4"/>
  <c r="B1131" i="4"/>
  <c r="C1130" i="4"/>
  <c r="B1130" i="4"/>
  <c r="G1129" i="4"/>
  <c r="C1129" i="4"/>
  <c r="B1129" i="4"/>
  <c r="C1128" i="4"/>
  <c r="B1128" i="4"/>
  <c r="C1127" i="4"/>
  <c r="B1127" i="4"/>
  <c r="C1126" i="4"/>
  <c r="B1126" i="4"/>
  <c r="C1125" i="4"/>
  <c r="B1125" i="4"/>
  <c r="C1124" i="4"/>
  <c r="B1124" i="4"/>
  <c r="C1123" i="4"/>
  <c r="B1123" i="4"/>
  <c r="C1122" i="4"/>
  <c r="B1122" i="4"/>
  <c r="G1121" i="4"/>
  <c r="C1121" i="4"/>
  <c r="B1121" i="4"/>
  <c r="C1120" i="4"/>
  <c r="B1120" i="4"/>
  <c r="C1119" i="4"/>
  <c r="B1119" i="4"/>
  <c r="C1118" i="4"/>
  <c r="B1118" i="4"/>
  <c r="C1117" i="4"/>
  <c r="B1117" i="4"/>
  <c r="C1116" i="4"/>
  <c r="B1116" i="4"/>
  <c r="C1115" i="4"/>
  <c r="B1115" i="4"/>
  <c r="G1114" i="4"/>
  <c r="C1114" i="4"/>
  <c r="B1114" i="4"/>
  <c r="G1113" i="4"/>
  <c r="C1113" i="4"/>
  <c r="B1113" i="4"/>
  <c r="C1112" i="4"/>
  <c r="B1112" i="4"/>
  <c r="G1111" i="4"/>
  <c r="C1111" i="4"/>
  <c r="B1111" i="4"/>
  <c r="C1110" i="4"/>
  <c r="B1110" i="4"/>
  <c r="G1109" i="4"/>
  <c r="C1109" i="4"/>
  <c r="B1109" i="4"/>
  <c r="C1108" i="4"/>
  <c r="B1108" i="4"/>
  <c r="C1107" i="4"/>
  <c r="B1107" i="4"/>
  <c r="C1106" i="4"/>
  <c r="B1106" i="4"/>
  <c r="C1105" i="4"/>
  <c r="B1105" i="4"/>
  <c r="C1104" i="4"/>
  <c r="B1104" i="4"/>
  <c r="C1103" i="4"/>
  <c r="B1103" i="4"/>
  <c r="C1102" i="4"/>
  <c r="B1102" i="4"/>
  <c r="C1101" i="4"/>
  <c r="B1101" i="4"/>
  <c r="C1100" i="4"/>
  <c r="B1100" i="4"/>
  <c r="C1099" i="4"/>
  <c r="B1099" i="4"/>
  <c r="C1098" i="4"/>
  <c r="B1098" i="4"/>
  <c r="G1097" i="4"/>
  <c r="C1097" i="4"/>
  <c r="B1097" i="4"/>
  <c r="C1096" i="4"/>
  <c r="B1096" i="4"/>
  <c r="C1095" i="4"/>
  <c r="B1095" i="4"/>
  <c r="C1094" i="4"/>
  <c r="B1094" i="4"/>
  <c r="C1093" i="4"/>
  <c r="B1093" i="4"/>
  <c r="C1092" i="4"/>
  <c r="B1092" i="4"/>
  <c r="C1091" i="4"/>
  <c r="B1091" i="4"/>
  <c r="C1090" i="4"/>
  <c r="B1090" i="4"/>
  <c r="C1089" i="4"/>
  <c r="B1089" i="4"/>
  <c r="C1088" i="4"/>
  <c r="B1088" i="4"/>
  <c r="G1087" i="4"/>
  <c r="C1087" i="4"/>
  <c r="B1087" i="4"/>
  <c r="G1086" i="4"/>
  <c r="C1086" i="4"/>
  <c r="B1086" i="4"/>
  <c r="C1085" i="4"/>
  <c r="B1085" i="4"/>
  <c r="C1084" i="4"/>
  <c r="B1084" i="4"/>
  <c r="C1083" i="4"/>
  <c r="B1083" i="4"/>
  <c r="C1082" i="4"/>
  <c r="B1082" i="4"/>
  <c r="G1081" i="4"/>
  <c r="C1081" i="4"/>
  <c r="B1081" i="4"/>
  <c r="C1080" i="4"/>
  <c r="B1080" i="4"/>
  <c r="C1079" i="4"/>
  <c r="B1079" i="4"/>
  <c r="C1078" i="4"/>
  <c r="B1078" i="4"/>
  <c r="C1077" i="4"/>
  <c r="B1077" i="4"/>
  <c r="C1076" i="4"/>
  <c r="B1076" i="4"/>
  <c r="C1075" i="4"/>
  <c r="B1075" i="4"/>
  <c r="C1074" i="4"/>
  <c r="B1074" i="4"/>
  <c r="G1073" i="4"/>
  <c r="C1073" i="4"/>
  <c r="B1073" i="4"/>
  <c r="C1072" i="4"/>
  <c r="B1072" i="4"/>
  <c r="C1071" i="4"/>
  <c r="B1071" i="4"/>
  <c r="G1070" i="4"/>
  <c r="C1070" i="4"/>
  <c r="B1070" i="4"/>
  <c r="G1069" i="4"/>
  <c r="C1069" i="4"/>
  <c r="B1069" i="4"/>
  <c r="G1068" i="4"/>
  <c r="C1068" i="4"/>
  <c r="B1068" i="4"/>
  <c r="C1067" i="4"/>
  <c r="B1067" i="4"/>
  <c r="C1066" i="4"/>
  <c r="B1066" i="4"/>
  <c r="C1065" i="4"/>
  <c r="B1065" i="4"/>
  <c r="C1064" i="4"/>
  <c r="B1064" i="4"/>
  <c r="C1063" i="4"/>
  <c r="B1063" i="4"/>
  <c r="G1062" i="4"/>
  <c r="C1062" i="4"/>
  <c r="B1062" i="4"/>
  <c r="C1061" i="4"/>
  <c r="B1061" i="4"/>
  <c r="C1060" i="4"/>
  <c r="B1060" i="4"/>
  <c r="G1059" i="4"/>
  <c r="C1059" i="4"/>
  <c r="B1059" i="4"/>
  <c r="C1058" i="4"/>
  <c r="B1058" i="4"/>
  <c r="G1057" i="4"/>
  <c r="C1057" i="4"/>
  <c r="B1057" i="4"/>
  <c r="C1056" i="4"/>
  <c r="B1056" i="4"/>
  <c r="C1055" i="4"/>
  <c r="B1055" i="4"/>
  <c r="C1054" i="4"/>
  <c r="B1054" i="4"/>
  <c r="C1053" i="4"/>
  <c r="B1053" i="4"/>
  <c r="C1052" i="4"/>
  <c r="B1052" i="4"/>
  <c r="C1051" i="4"/>
  <c r="B1051" i="4"/>
  <c r="G1050" i="4"/>
  <c r="C1050" i="4"/>
  <c r="B1050" i="4"/>
  <c r="G1049" i="4"/>
  <c r="C1049" i="4"/>
  <c r="B1049" i="4"/>
  <c r="C1048" i="4"/>
  <c r="B1048" i="4"/>
  <c r="C1047" i="4"/>
  <c r="B1047" i="4"/>
  <c r="C1046" i="4"/>
  <c r="B1046" i="4"/>
  <c r="C1045" i="4"/>
  <c r="B1045" i="4"/>
  <c r="C1044" i="4"/>
  <c r="B1044" i="4"/>
  <c r="C1043" i="4"/>
  <c r="B1043" i="4"/>
  <c r="C1042" i="4"/>
  <c r="B1042" i="4"/>
  <c r="C1041" i="4"/>
  <c r="B1041" i="4"/>
  <c r="G1040" i="4"/>
  <c r="C1040" i="4"/>
  <c r="B1040" i="4"/>
  <c r="C1039" i="4"/>
  <c r="B1039" i="4"/>
  <c r="G1038" i="4"/>
  <c r="C1038" i="4"/>
  <c r="B1038" i="4"/>
  <c r="C1037" i="4"/>
  <c r="B1037" i="4"/>
  <c r="C1036" i="4"/>
  <c r="B1036" i="4"/>
  <c r="C1035" i="4"/>
  <c r="B1035" i="4"/>
  <c r="C1034" i="4"/>
  <c r="B1034" i="4"/>
  <c r="C1033" i="4"/>
  <c r="B1033" i="4"/>
  <c r="G1032" i="4"/>
  <c r="C1032" i="4"/>
  <c r="B1032" i="4"/>
  <c r="C1031" i="4"/>
  <c r="B1031" i="4"/>
  <c r="C1030" i="4"/>
  <c r="B1030" i="4"/>
  <c r="C1029" i="4"/>
  <c r="B1029" i="4"/>
  <c r="C1028" i="4"/>
  <c r="B1028" i="4"/>
  <c r="C1027" i="4"/>
  <c r="B1027" i="4"/>
  <c r="C1026" i="4"/>
  <c r="B1026" i="4"/>
  <c r="C1025" i="4"/>
  <c r="B1025" i="4"/>
  <c r="C1024" i="4"/>
  <c r="B1024" i="4"/>
  <c r="C1023" i="4"/>
  <c r="B1023" i="4"/>
  <c r="G1022" i="4"/>
  <c r="C1022" i="4"/>
  <c r="B1022" i="4"/>
  <c r="C1021" i="4"/>
  <c r="B1021" i="4"/>
  <c r="C1020" i="4"/>
  <c r="B1020" i="4"/>
  <c r="C1019" i="4"/>
  <c r="B1019" i="4"/>
  <c r="C1018" i="4"/>
  <c r="B1018" i="4"/>
  <c r="C1017" i="4"/>
  <c r="B1017" i="4"/>
  <c r="C1016" i="4"/>
  <c r="B1016" i="4"/>
  <c r="C1015" i="4"/>
  <c r="B1015" i="4"/>
  <c r="G1014" i="4"/>
  <c r="C1014" i="4"/>
  <c r="B1014" i="4"/>
  <c r="C1013" i="4"/>
  <c r="B1013" i="4"/>
  <c r="C1012" i="4"/>
  <c r="B1012" i="4"/>
  <c r="C1011" i="4"/>
  <c r="B1011" i="4"/>
  <c r="C1010" i="4"/>
  <c r="B1010" i="4"/>
  <c r="C1009" i="4"/>
  <c r="B1009" i="4"/>
  <c r="C1008" i="4"/>
  <c r="B1008" i="4"/>
  <c r="C1007" i="4"/>
  <c r="B1007" i="4"/>
  <c r="C1006" i="4"/>
  <c r="B1006" i="4"/>
  <c r="C1005" i="4"/>
  <c r="B1005" i="4"/>
  <c r="G1004" i="4"/>
  <c r="C1004" i="4"/>
  <c r="B1004" i="4"/>
  <c r="C1003" i="4"/>
  <c r="B1003" i="4"/>
  <c r="C1002" i="4"/>
  <c r="B1002" i="4"/>
  <c r="G1001" i="4"/>
  <c r="C1001" i="4"/>
  <c r="B1001" i="4"/>
  <c r="G1000" i="4"/>
  <c r="C1000" i="4"/>
  <c r="B1000" i="4"/>
  <c r="C999" i="4"/>
  <c r="B999" i="4"/>
  <c r="C998" i="4"/>
  <c r="B998" i="4"/>
  <c r="G997" i="4"/>
  <c r="C997" i="4"/>
  <c r="B997" i="4"/>
  <c r="C996" i="4"/>
  <c r="B996" i="4"/>
  <c r="G995" i="4"/>
  <c r="C995" i="4"/>
  <c r="B995" i="4"/>
  <c r="C994" i="4"/>
  <c r="B994" i="4"/>
  <c r="G993" i="4"/>
  <c r="C993" i="4"/>
  <c r="B993" i="4"/>
  <c r="G992" i="4"/>
  <c r="C992" i="4"/>
  <c r="B992" i="4"/>
  <c r="C991" i="4"/>
  <c r="B991" i="4"/>
  <c r="C990" i="4"/>
  <c r="B990" i="4"/>
  <c r="C989" i="4"/>
  <c r="B989" i="4"/>
  <c r="G988" i="4"/>
  <c r="C988" i="4"/>
  <c r="B988" i="4"/>
  <c r="C987" i="4"/>
  <c r="B987" i="4"/>
  <c r="C986" i="4"/>
  <c r="B986" i="4"/>
  <c r="C985" i="4"/>
  <c r="B985" i="4"/>
  <c r="C984" i="4"/>
  <c r="B984" i="4"/>
  <c r="C983" i="4"/>
  <c r="B983" i="4"/>
  <c r="C982" i="4"/>
  <c r="B982" i="4"/>
  <c r="C981" i="4"/>
  <c r="B981" i="4"/>
  <c r="C980" i="4"/>
  <c r="B980" i="4"/>
  <c r="C979" i="4"/>
  <c r="B979" i="4"/>
  <c r="C978" i="4"/>
  <c r="B978" i="4"/>
  <c r="G977" i="4"/>
  <c r="C977" i="4"/>
  <c r="B977" i="4"/>
  <c r="C976" i="4"/>
  <c r="B976" i="4"/>
  <c r="C975" i="4"/>
  <c r="B975" i="4"/>
  <c r="C974" i="4"/>
  <c r="B974" i="4"/>
  <c r="C973" i="4"/>
  <c r="B973" i="4"/>
  <c r="C972" i="4"/>
  <c r="B972" i="4"/>
  <c r="G971" i="4"/>
  <c r="C971" i="4"/>
  <c r="B971" i="4"/>
  <c r="G970" i="4"/>
  <c r="C970" i="4"/>
  <c r="B970" i="4"/>
  <c r="C969" i="4"/>
  <c r="B969" i="4"/>
  <c r="C968" i="4"/>
  <c r="B968" i="4"/>
  <c r="C967" i="4"/>
  <c r="B967" i="4"/>
  <c r="C966" i="4"/>
  <c r="B966" i="4"/>
  <c r="C965" i="4"/>
  <c r="B965" i="4"/>
  <c r="C964" i="4"/>
  <c r="B964" i="4"/>
  <c r="C963" i="4"/>
  <c r="B963" i="4"/>
  <c r="G962" i="4"/>
  <c r="C962" i="4"/>
  <c r="B962" i="4"/>
  <c r="C961" i="4"/>
  <c r="B961" i="4"/>
  <c r="C960" i="4"/>
  <c r="B960" i="4"/>
  <c r="C959" i="4"/>
  <c r="B959" i="4"/>
  <c r="C958" i="4"/>
  <c r="B958" i="4"/>
  <c r="G957" i="4"/>
  <c r="C957" i="4"/>
  <c r="B957" i="4"/>
  <c r="C956" i="4"/>
  <c r="B956" i="4"/>
  <c r="C955" i="4"/>
  <c r="B955" i="4"/>
  <c r="C954" i="4"/>
  <c r="B954" i="4"/>
  <c r="G953" i="4"/>
  <c r="C953" i="4"/>
  <c r="B953" i="4"/>
  <c r="C952" i="4"/>
  <c r="B952" i="4"/>
  <c r="C951" i="4"/>
  <c r="B951" i="4"/>
  <c r="G950" i="4"/>
  <c r="C950" i="4"/>
  <c r="B950" i="4"/>
  <c r="G949" i="4"/>
  <c r="C949" i="4"/>
  <c r="B949" i="4"/>
  <c r="C948" i="4"/>
  <c r="B948" i="4"/>
  <c r="C947" i="4"/>
  <c r="B947" i="4"/>
  <c r="C946" i="4"/>
  <c r="B946" i="4"/>
  <c r="C945" i="4"/>
  <c r="B945" i="4"/>
  <c r="C944" i="4"/>
  <c r="B944" i="4"/>
  <c r="C943" i="4"/>
  <c r="B943" i="4"/>
  <c r="G942" i="4"/>
  <c r="C942" i="4"/>
  <c r="B942" i="4"/>
  <c r="G941" i="4"/>
  <c r="C941" i="4"/>
  <c r="B941" i="4"/>
  <c r="G940" i="4"/>
  <c r="C940" i="4"/>
  <c r="B940" i="4"/>
  <c r="C939" i="4"/>
  <c r="B939" i="4"/>
  <c r="C938" i="4"/>
  <c r="B938" i="4"/>
  <c r="C937" i="4"/>
  <c r="B937" i="4"/>
  <c r="C936" i="4"/>
  <c r="B936" i="4"/>
  <c r="C935" i="4"/>
  <c r="B935" i="4"/>
  <c r="C934" i="4"/>
  <c r="B934" i="4"/>
  <c r="G933" i="4"/>
  <c r="C933" i="4"/>
  <c r="B933" i="4"/>
  <c r="C932" i="4"/>
  <c r="B932" i="4"/>
  <c r="C931" i="4"/>
  <c r="B931" i="4"/>
  <c r="C930" i="4"/>
  <c r="B930" i="4"/>
  <c r="C929" i="4"/>
  <c r="B929" i="4"/>
  <c r="G928" i="4"/>
  <c r="C928" i="4"/>
  <c r="B928" i="4"/>
  <c r="C927" i="4"/>
  <c r="B927" i="4"/>
  <c r="C926" i="4"/>
  <c r="B926" i="4"/>
  <c r="C925" i="4"/>
  <c r="B925" i="4"/>
  <c r="C924" i="4"/>
  <c r="B924" i="4"/>
  <c r="C923" i="4"/>
  <c r="B923" i="4"/>
  <c r="C922" i="4"/>
  <c r="B922" i="4"/>
  <c r="C921" i="4"/>
  <c r="B921" i="4"/>
  <c r="G920" i="4"/>
  <c r="C920" i="4"/>
  <c r="B920" i="4"/>
  <c r="C919" i="4"/>
  <c r="B919" i="4"/>
  <c r="C918" i="4"/>
  <c r="B918" i="4"/>
  <c r="C917" i="4"/>
  <c r="B917" i="4"/>
  <c r="C916" i="4"/>
  <c r="B916" i="4"/>
  <c r="C915" i="4"/>
  <c r="B915" i="4"/>
  <c r="C914" i="4"/>
  <c r="B914" i="4"/>
  <c r="G913" i="4"/>
  <c r="C913" i="4"/>
  <c r="B913" i="4"/>
  <c r="C912" i="4"/>
  <c r="B912" i="4"/>
  <c r="C911" i="4"/>
  <c r="B911" i="4"/>
  <c r="C910" i="4"/>
  <c r="B910" i="4"/>
  <c r="C909" i="4"/>
  <c r="B909" i="4"/>
  <c r="C908" i="4"/>
  <c r="B908" i="4"/>
  <c r="C907" i="4"/>
  <c r="B907" i="4"/>
  <c r="C906" i="4"/>
  <c r="B906" i="4"/>
  <c r="G905" i="4"/>
  <c r="C905" i="4"/>
  <c r="B905" i="4"/>
  <c r="G904" i="4"/>
  <c r="C904" i="4"/>
  <c r="B904" i="4"/>
  <c r="C903" i="4"/>
  <c r="B903" i="4"/>
  <c r="C902" i="4"/>
  <c r="B902" i="4"/>
  <c r="C901" i="4"/>
  <c r="B901" i="4"/>
  <c r="C900" i="4"/>
  <c r="B900" i="4"/>
  <c r="C899" i="4"/>
  <c r="B899" i="4"/>
  <c r="C898" i="4"/>
  <c r="B898" i="4"/>
  <c r="C897" i="4"/>
  <c r="B897" i="4"/>
  <c r="C896" i="4"/>
  <c r="B896" i="4"/>
  <c r="C895" i="4"/>
  <c r="B895" i="4"/>
  <c r="C894" i="4"/>
  <c r="B894" i="4"/>
  <c r="C893" i="4"/>
  <c r="B893" i="4"/>
  <c r="C892" i="4"/>
  <c r="B892" i="4"/>
  <c r="C891" i="4"/>
  <c r="B891" i="4"/>
  <c r="C890" i="4"/>
  <c r="B890" i="4"/>
  <c r="C889" i="4"/>
  <c r="B889" i="4"/>
  <c r="G888" i="4"/>
  <c r="C888" i="4"/>
  <c r="B888" i="4"/>
  <c r="C887" i="4"/>
  <c r="B887" i="4"/>
  <c r="C886" i="4"/>
  <c r="B886" i="4"/>
  <c r="C885" i="4"/>
  <c r="B885" i="4"/>
  <c r="G884" i="4"/>
  <c r="C884" i="4"/>
  <c r="B884" i="4"/>
  <c r="C883" i="4"/>
  <c r="B883" i="4"/>
  <c r="C882" i="4"/>
  <c r="B882" i="4"/>
  <c r="C881" i="4"/>
  <c r="B881" i="4"/>
  <c r="C880" i="4"/>
  <c r="B880" i="4"/>
  <c r="C879" i="4"/>
  <c r="B879" i="4"/>
  <c r="C878" i="4"/>
  <c r="B878" i="4"/>
  <c r="C877" i="4"/>
  <c r="B877" i="4"/>
  <c r="C876" i="4"/>
  <c r="B876" i="4"/>
  <c r="C875" i="4"/>
  <c r="B875" i="4"/>
  <c r="C874" i="4"/>
  <c r="B874" i="4"/>
  <c r="C873" i="4"/>
  <c r="B873" i="4"/>
  <c r="C872" i="4"/>
  <c r="B872" i="4"/>
  <c r="C871" i="4"/>
  <c r="B871" i="4"/>
  <c r="C870" i="4"/>
  <c r="B870" i="4"/>
  <c r="G869" i="4"/>
  <c r="C869" i="4"/>
  <c r="B869" i="4"/>
  <c r="G868" i="4"/>
  <c r="C868" i="4"/>
  <c r="B868" i="4"/>
  <c r="C867" i="4"/>
  <c r="B867" i="4"/>
  <c r="C866" i="4"/>
  <c r="B866" i="4"/>
  <c r="G865" i="4"/>
  <c r="C865" i="4"/>
  <c r="B865" i="4"/>
  <c r="G864" i="4"/>
  <c r="C864" i="4"/>
  <c r="B864" i="4"/>
  <c r="C863" i="4"/>
  <c r="B863" i="4"/>
  <c r="G862" i="4"/>
  <c r="C862" i="4"/>
  <c r="B862" i="4"/>
  <c r="C861" i="4"/>
  <c r="B861" i="4"/>
  <c r="G860" i="4"/>
  <c r="C860" i="4"/>
  <c r="B860" i="4"/>
  <c r="G859" i="4"/>
  <c r="C859" i="4"/>
  <c r="B859" i="4"/>
  <c r="C858" i="4"/>
  <c r="B858" i="4"/>
  <c r="C857" i="4"/>
  <c r="B857" i="4"/>
  <c r="C856" i="4"/>
  <c r="B856" i="4"/>
  <c r="C855" i="4"/>
  <c r="B855" i="4"/>
  <c r="C854" i="4"/>
  <c r="B854" i="4"/>
  <c r="G853" i="4"/>
  <c r="C853" i="4"/>
  <c r="B853" i="4"/>
  <c r="G852" i="4"/>
  <c r="C852" i="4"/>
  <c r="B852" i="4"/>
  <c r="G851" i="4"/>
  <c r="C851" i="4"/>
  <c r="B851" i="4"/>
  <c r="C850" i="4"/>
  <c r="B850" i="4"/>
  <c r="G849" i="4"/>
  <c r="C849" i="4"/>
  <c r="B849" i="4"/>
  <c r="C848" i="4"/>
  <c r="B848" i="4"/>
  <c r="C847" i="4"/>
  <c r="B847" i="4"/>
  <c r="C846" i="4"/>
  <c r="B846" i="4"/>
  <c r="C845" i="4"/>
  <c r="B845" i="4"/>
  <c r="C844" i="4"/>
  <c r="B844" i="4"/>
  <c r="C843" i="4"/>
  <c r="B843" i="4"/>
  <c r="C842" i="4"/>
  <c r="B842" i="4"/>
  <c r="G841" i="4"/>
  <c r="C841" i="4"/>
  <c r="B841" i="4"/>
  <c r="C840" i="4"/>
  <c r="B840" i="4"/>
  <c r="C839" i="4"/>
  <c r="B839" i="4"/>
  <c r="C838" i="4"/>
  <c r="B838" i="4"/>
  <c r="C837" i="4"/>
  <c r="B837" i="4"/>
  <c r="C836" i="4"/>
  <c r="B836" i="4"/>
  <c r="G835" i="4"/>
  <c r="C835" i="4"/>
  <c r="B835" i="4"/>
  <c r="C834" i="4"/>
  <c r="B834" i="4"/>
  <c r="C833" i="4"/>
  <c r="B833" i="4"/>
  <c r="C832" i="4"/>
  <c r="B832" i="4"/>
  <c r="C831" i="4"/>
  <c r="B831" i="4"/>
  <c r="G830" i="4"/>
  <c r="C830" i="4"/>
  <c r="B830" i="4"/>
  <c r="C829" i="4"/>
  <c r="B829" i="4"/>
  <c r="C828" i="4"/>
  <c r="B828" i="4"/>
  <c r="C827" i="4"/>
  <c r="B827" i="4"/>
  <c r="C826" i="4"/>
  <c r="B826" i="4"/>
  <c r="C825" i="4"/>
  <c r="B825" i="4"/>
  <c r="C824" i="4"/>
  <c r="B824" i="4"/>
  <c r="C823" i="4"/>
  <c r="B823" i="4"/>
  <c r="G822" i="4"/>
  <c r="C822" i="4"/>
  <c r="B822" i="4"/>
  <c r="C821" i="4"/>
  <c r="B821" i="4"/>
  <c r="C820" i="4"/>
  <c r="B820" i="4"/>
  <c r="G819" i="4"/>
  <c r="C819" i="4"/>
  <c r="B819" i="4"/>
  <c r="C818" i="4"/>
  <c r="B818" i="4"/>
  <c r="C817" i="4"/>
  <c r="B817" i="4"/>
  <c r="C816" i="4"/>
  <c r="B816" i="4"/>
  <c r="C815" i="4"/>
  <c r="B815" i="4"/>
  <c r="C814" i="4"/>
  <c r="B814" i="4"/>
  <c r="C813" i="4"/>
  <c r="B813" i="4"/>
  <c r="C812" i="4"/>
  <c r="B812" i="4"/>
  <c r="C811" i="4"/>
  <c r="B811" i="4"/>
  <c r="C810" i="4"/>
  <c r="B810" i="4"/>
  <c r="G809" i="4"/>
  <c r="C809" i="4"/>
  <c r="B809" i="4"/>
  <c r="C808" i="4"/>
  <c r="B808" i="4"/>
  <c r="G807" i="4"/>
  <c r="C807" i="4"/>
  <c r="B807" i="4"/>
  <c r="C806" i="4"/>
  <c r="B806" i="4"/>
  <c r="C805" i="4"/>
  <c r="B805" i="4"/>
  <c r="G804" i="4"/>
  <c r="C804" i="4"/>
  <c r="B804" i="4"/>
  <c r="C803" i="4"/>
  <c r="B803" i="4"/>
  <c r="C802" i="4"/>
  <c r="B802" i="4"/>
  <c r="C801" i="4"/>
  <c r="B801" i="4"/>
  <c r="C800" i="4"/>
  <c r="B800" i="4"/>
  <c r="G799" i="4"/>
  <c r="C799" i="4"/>
  <c r="B799" i="4"/>
  <c r="C798" i="4"/>
  <c r="B798" i="4"/>
  <c r="C797" i="4"/>
  <c r="B797" i="4"/>
  <c r="C796" i="4"/>
  <c r="B796" i="4"/>
  <c r="C795" i="4"/>
  <c r="B795" i="4"/>
  <c r="C794" i="4"/>
  <c r="B794" i="4"/>
  <c r="C793" i="4"/>
  <c r="B793" i="4"/>
  <c r="C792" i="4"/>
  <c r="B792" i="4"/>
  <c r="C791" i="4"/>
  <c r="B791" i="4"/>
  <c r="C790" i="4"/>
  <c r="B790" i="4"/>
  <c r="G789" i="4"/>
  <c r="C789" i="4"/>
  <c r="B789" i="4"/>
  <c r="C788" i="4"/>
  <c r="B788" i="4"/>
  <c r="C787" i="4"/>
  <c r="B787" i="4"/>
  <c r="C786" i="4"/>
  <c r="B786" i="4"/>
  <c r="C785" i="4"/>
  <c r="B785" i="4"/>
  <c r="C784" i="4"/>
  <c r="B784" i="4"/>
  <c r="C783" i="4"/>
  <c r="B783" i="4"/>
  <c r="C782" i="4"/>
  <c r="B782" i="4"/>
  <c r="C781" i="4"/>
  <c r="B781" i="4"/>
  <c r="C780" i="4"/>
  <c r="B780" i="4"/>
  <c r="G779" i="4"/>
  <c r="C779" i="4"/>
  <c r="B779" i="4"/>
  <c r="C778" i="4"/>
  <c r="B778" i="4"/>
  <c r="C777" i="4"/>
  <c r="B777" i="4"/>
  <c r="C776" i="4"/>
  <c r="B776" i="4"/>
  <c r="C775" i="4"/>
  <c r="B775" i="4"/>
  <c r="C774" i="4"/>
  <c r="B774" i="4"/>
  <c r="C773" i="4"/>
  <c r="B773" i="4"/>
  <c r="C772" i="4"/>
  <c r="B772" i="4"/>
  <c r="G771" i="4"/>
  <c r="C771" i="4"/>
  <c r="B771" i="4"/>
  <c r="G770" i="4"/>
  <c r="C770" i="4"/>
  <c r="B770" i="4"/>
  <c r="C769" i="4"/>
  <c r="B769" i="4"/>
  <c r="C768" i="4"/>
  <c r="B768" i="4"/>
  <c r="C767" i="4"/>
  <c r="B767" i="4"/>
  <c r="G766" i="4"/>
  <c r="C766" i="4"/>
  <c r="B766" i="4"/>
  <c r="C765" i="4"/>
  <c r="B765" i="4"/>
  <c r="C764" i="4"/>
  <c r="B764" i="4"/>
  <c r="C763" i="4"/>
  <c r="B763" i="4"/>
  <c r="C762" i="4"/>
  <c r="B762" i="4"/>
  <c r="C761" i="4"/>
  <c r="B761" i="4"/>
  <c r="G760" i="4"/>
  <c r="C760" i="4"/>
  <c r="B760" i="4"/>
  <c r="C759" i="4"/>
  <c r="B759" i="4"/>
  <c r="C758" i="4"/>
  <c r="B758" i="4"/>
  <c r="C757" i="4"/>
  <c r="B757" i="4"/>
  <c r="G756" i="4"/>
  <c r="C756" i="4"/>
  <c r="B756" i="4"/>
  <c r="C755" i="4"/>
  <c r="B755" i="4"/>
  <c r="C754" i="4"/>
  <c r="B754" i="4"/>
  <c r="C753" i="4"/>
  <c r="B753" i="4"/>
  <c r="G752" i="4"/>
  <c r="C752" i="4"/>
  <c r="B752" i="4"/>
  <c r="C751" i="4"/>
  <c r="B751" i="4"/>
  <c r="G750" i="4"/>
  <c r="C750" i="4"/>
  <c r="B750" i="4"/>
  <c r="C749" i="4"/>
  <c r="B749" i="4"/>
  <c r="C748" i="4"/>
  <c r="B748" i="4"/>
  <c r="C747" i="4"/>
  <c r="B747" i="4"/>
  <c r="C746" i="4"/>
  <c r="B746" i="4"/>
  <c r="G745" i="4"/>
  <c r="C745" i="4"/>
  <c r="B745" i="4"/>
  <c r="C744" i="4"/>
  <c r="B744" i="4"/>
  <c r="C743" i="4"/>
  <c r="B743" i="4"/>
  <c r="C742" i="4"/>
  <c r="B742" i="4"/>
  <c r="G741" i="4"/>
  <c r="C741" i="4"/>
  <c r="B741" i="4"/>
  <c r="C740" i="4"/>
  <c r="B740" i="4"/>
  <c r="C739" i="4"/>
  <c r="B739" i="4"/>
  <c r="C738" i="4"/>
  <c r="B738" i="4"/>
  <c r="C737" i="4"/>
  <c r="B737" i="4"/>
  <c r="C736" i="4"/>
  <c r="B736" i="4"/>
  <c r="C735" i="4"/>
  <c r="B735" i="4"/>
  <c r="C734" i="4"/>
  <c r="B734" i="4"/>
  <c r="C733" i="4"/>
  <c r="B733" i="4"/>
  <c r="C732" i="4"/>
  <c r="B732" i="4"/>
  <c r="C731" i="4"/>
  <c r="B731" i="4"/>
  <c r="C730" i="4"/>
  <c r="B730" i="4"/>
  <c r="G729" i="4"/>
  <c r="C729" i="4"/>
  <c r="B729" i="4"/>
  <c r="C728" i="4"/>
  <c r="B728" i="4"/>
  <c r="C727" i="4"/>
  <c r="B727" i="4"/>
  <c r="C726" i="4"/>
  <c r="B726" i="4"/>
  <c r="G725" i="4"/>
  <c r="C725" i="4"/>
  <c r="B725" i="4"/>
  <c r="C724" i="4"/>
  <c r="B724" i="4"/>
  <c r="G723" i="4"/>
  <c r="C723" i="4"/>
  <c r="B723" i="4"/>
  <c r="C722" i="4"/>
  <c r="B722" i="4"/>
  <c r="C721" i="4"/>
  <c r="B721" i="4"/>
  <c r="C720" i="4"/>
  <c r="B720" i="4"/>
  <c r="G719" i="4"/>
  <c r="C719" i="4"/>
  <c r="B719" i="4"/>
  <c r="C718" i="4"/>
  <c r="B718" i="4"/>
  <c r="C717" i="4"/>
  <c r="B717" i="4"/>
  <c r="C716" i="4"/>
  <c r="B716" i="4"/>
  <c r="C715" i="4"/>
  <c r="B715" i="4"/>
  <c r="C714" i="4"/>
  <c r="B714" i="4"/>
  <c r="C713" i="4"/>
  <c r="B713" i="4"/>
  <c r="C712" i="4"/>
  <c r="B712" i="4"/>
  <c r="C711" i="4"/>
  <c r="B711" i="4"/>
  <c r="G710" i="4"/>
  <c r="C710" i="4"/>
  <c r="B710" i="4"/>
  <c r="C709" i="4"/>
  <c r="B709" i="4"/>
  <c r="C708" i="4"/>
  <c r="B708" i="4"/>
  <c r="G707" i="4"/>
  <c r="C707" i="4"/>
  <c r="B707" i="4"/>
  <c r="G706" i="4"/>
  <c r="C706" i="4"/>
  <c r="B706" i="4"/>
  <c r="C705" i="4"/>
  <c r="B705" i="4"/>
  <c r="G704" i="4"/>
  <c r="C704" i="4"/>
  <c r="B704" i="4"/>
  <c r="G703" i="4"/>
  <c r="C703" i="4"/>
  <c r="B703" i="4"/>
  <c r="G702" i="4"/>
  <c r="C702" i="4"/>
  <c r="B702" i="4"/>
  <c r="C701" i="4"/>
  <c r="B701" i="4"/>
  <c r="G700" i="4"/>
  <c r="C700" i="4"/>
  <c r="B700" i="4"/>
  <c r="C699" i="4"/>
  <c r="B699" i="4"/>
  <c r="C698" i="4"/>
  <c r="B698" i="4"/>
  <c r="C697" i="4"/>
  <c r="B697" i="4"/>
  <c r="C696" i="4"/>
  <c r="B696" i="4"/>
  <c r="C695" i="4"/>
  <c r="B695" i="4"/>
  <c r="G694" i="4"/>
  <c r="C694" i="4"/>
  <c r="B694" i="4"/>
  <c r="G693" i="4"/>
  <c r="C693" i="4"/>
  <c r="B693" i="4"/>
  <c r="C692" i="4"/>
  <c r="B692" i="4"/>
  <c r="G691" i="4"/>
  <c r="C691" i="4"/>
  <c r="B691" i="4"/>
  <c r="C690" i="4"/>
  <c r="B690" i="4"/>
  <c r="C689" i="4"/>
  <c r="B689" i="4"/>
  <c r="C688" i="4"/>
  <c r="B688" i="4"/>
  <c r="C687" i="4"/>
  <c r="B687" i="4"/>
  <c r="C686" i="4"/>
  <c r="B686" i="4"/>
  <c r="G685" i="4"/>
  <c r="C685" i="4"/>
  <c r="B685" i="4"/>
  <c r="C684" i="4"/>
  <c r="B684" i="4"/>
  <c r="G683" i="4"/>
  <c r="C683" i="4"/>
  <c r="B683" i="4"/>
  <c r="G682" i="4"/>
  <c r="C682" i="4"/>
  <c r="B682" i="4"/>
  <c r="C681" i="4"/>
  <c r="B681" i="4"/>
  <c r="C680" i="4"/>
  <c r="B680" i="4"/>
  <c r="C679" i="4"/>
  <c r="B679" i="4"/>
  <c r="C678" i="4"/>
  <c r="B678" i="4"/>
  <c r="G677" i="4"/>
  <c r="C677" i="4"/>
  <c r="B677" i="4"/>
  <c r="G676" i="4"/>
  <c r="C676" i="4"/>
  <c r="B676" i="4"/>
  <c r="C675" i="4"/>
  <c r="B675" i="4"/>
  <c r="C674" i="4"/>
  <c r="B674" i="4"/>
  <c r="C673" i="4"/>
  <c r="B673" i="4"/>
  <c r="C672" i="4"/>
  <c r="B672" i="4"/>
  <c r="C671" i="4"/>
  <c r="B671" i="4"/>
  <c r="C670" i="4"/>
  <c r="B670" i="4"/>
  <c r="G669" i="4"/>
  <c r="C669" i="4"/>
  <c r="B669" i="4"/>
  <c r="C668" i="4"/>
  <c r="B668" i="4"/>
  <c r="C667" i="4"/>
  <c r="B667" i="4"/>
  <c r="C666" i="4"/>
  <c r="B666" i="4"/>
  <c r="C665" i="4"/>
  <c r="B665" i="4"/>
  <c r="C664" i="4"/>
  <c r="B664" i="4"/>
  <c r="C663" i="4"/>
  <c r="B663" i="4"/>
  <c r="C662" i="4"/>
  <c r="B662" i="4"/>
  <c r="C661" i="4"/>
  <c r="B661" i="4"/>
  <c r="C660" i="4"/>
  <c r="B660" i="4"/>
  <c r="C659" i="4"/>
  <c r="B659" i="4"/>
  <c r="C658" i="4"/>
  <c r="B658" i="4"/>
  <c r="G657" i="4"/>
  <c r="C657" i="4"/>
  <c r="B657" i="4"/>
  <c r="C656" i="4"/>
  <c r="B656" i="4"/>
  <c r="G655" i="4"/>
  <c r="C655" i="4"/>
  <c r="B655" i="4"/>
  <c r="C654" i="4"/>
  <c r="B654" i="4"/>
  <c r="C653" i="4"/>
  <c r="B653" i="4"/>
  <c r="G652" i="4"/>
  <c r="C652" i="4"/>
  <c r="B652" i="4"/>
  <c r="C651" i="4"/>
  <c r="B651" i="4"/>
  <c r="C650" i="4"/>
  <c r="B650" i="4"/>
  <c r="C649" i="4"/>
  <c r="B649" i="4"/>
  <c r="C648" i="4"/>
  <c r="B648" i="4"/>
  <c r="G647" i="4"/>
  <c r="C647" i="4"/>
  <c r="B647" i="4"/>
  <c r="C646" i="4"/>
  <c r="B646" i="4"/>
  <c r="G645" i="4"/>
  <c r="C645" i="4"/>
  <c r="B645" i="4"/>
  <c r="G644" i="4"/>
  <c r="C644" i="4"/>
  <c r="B644" i="4"/>
  <c r="C643" i="4"/>
  <c r="B643" i="4"/>
  <c r="G642" i="4"/>
  <c r="C642" i="4"/>
  <c r="B642" i="4"/>
  <c r="C641" i="4"/>
  <c r="B641" i="4"/>
  <c r="C640" i="4"/>
  <c r="B640" i="4"/>
  <c r="C639" i="4"/>
  <c r="B639" i="4"/>
  <c r="C638" i="4"/>
  <c r="B638" i="4"/>
  <c r="C637" i="4"/>
  <c r="B637" i="4"/>
  <c r="C636" i="4"/>
  <c r="B636" i="4"/>
  <c r="C635" i="4"/>
  <c r="B635" i="4"/>
  <c r="C634" i="4"/>
  <c r="B634" i="4"/>
  <c r="C633" i="4"/>
  <c r="B633" i="4"/>
  <c r="C632" i="4"/>
  <c r="B632" i="4"/>
  <c r="C631" i="4"/>
  <c r="B631" i="4"/>
  <c r="G630" i="4"/>
  <c r="C630" i="4"/>
  <c r="B630" i="4"/>
  <c r="C629" i="4"/>
  <c r="B629" i="4"/>
  <c r="G628" i="4"/>
  <c r="C628" i="4"/>
  <c r="B628" i="4"/>
  <c r="C627" i="4"/>
  <c r="B627" i="4"/>
  <c r="C626" i="4"/>
  <c r="B626" i="4"/>
  <c r="C625" i="4"/>
  <c r="B625" i="4"/>
  <c r="G624" i="4"/>
  <c r="C624" i="4"/>
  <c r="B624" i="4"/>
  <c r="G623" i="4"/>
  <c r="C623" i="4"/>
  <c r="B623" i="4"/>
  <c r="C622" i="4"/>
  <c r="B622" i="4"/>
  <c r="G621" i="4"/>
  <c r="C621" i="4"/>
  <c r="B621" i="4"/>
  <c r="C620" i="4"/>
  <c r="B620" i="4"/>
  <c r="C619" i="4"/>
  <c r="B619" i="4"/>
  <c r="C618" i="4"/>
  <c r="B618" i="4"/>
  <c r="C617" i="4"/>
  <c r="B617" i="4"/>
  <c r="C616" i="4"/>
  <c r="B616" i="4"/>
  <c r="G615" i="4"/>
  <c r="C615" i="4"/>
  <c r="B615" i="4"/>
  <c r="C614" i="4"/>
  <c r="B614" i="4"/>
  <c r="C613" i="4"/>
  <c r="B613" i="4"/>
  <c r="C612" i="4"/>
  <c r="B612" i="4"/>
  <c r="C611" i="4"/>
  <c r="B611" i="4"/>
  <c r="G610" i="4"/>
  <c r="C610" i="4"/>
  <c r="B610" i="4"/>
  <c r="G609" i="4"/>
  <c r="C609" i="4"/>
  <c r="B609" i="4"/>
  <c r="C608" i="4"/>
  <c r="B608" i="4"/>
  <c r="G607" i="4"/>
  <c r="C607" i="4"/>
  <c r="B607" i="4"/>
  <c r="C606" i="4"/>
  <c r="B606" i="4"/>
  <c r="C605" i="4"/>
  <c r="B605" i="4"/>
  <c r="G604" i="4"/>
  <c r="C604" i="4"/>
  <c r="B604" i="4"/>
  <c r="C603" i="4"/>
  <c r="B603" i="4"/>
  <c r="C602" i="4"/>
  <c r="B602" i="4"/>
  <c r="C601" i="4"/>
  <c r="B601" i="4"/>
  <c r="G600" i="4"/>
  <c r="C600" i="4"/>
  <c r="B600" i="4"/>
  <c r="G599" i="4"/>
  <c r="C599" i="4"/>
  <c r="B599" i="4"/>
  <c r="C598" i="4"/>
  <c r="B598" i="4"/>
  <c r="C597" i="4"/>
  <c r="B597" i="4"/>
  <c r="C596" i="4"/>
  <c r="B596" i="4"/>
  <c r="C595" i="4"/>
  <c r="B595" i="4"/>
  <c r="C594" i="4"/>
  <c r="B594" i="4"/>
  <c r="C593" i="4"/>
  <c r="B593" i="4"/>
  <c r="C592" i="4"/>
  <c r="B592" i="4"/>
  <c r="C591" i="4"/>
  <c r="B591" i="4"/>
  <c r="G590" i="4"/>
  <c r="C590" i="4"/>
  <c r="B590" i="4"/>
  <c r="C589" i="4"/>
  <c r="B589" i="4"/>
  <c r="G588" i="4"/>
  <c r="C588" i="4"/>
  <c r="B588" i="4"/>
  <c r="G587" i="4"/>
  <c r="C587" i="4"/>
  <c r="B587" i="4"/>
  <c r="C586" i="4"/>
  <c r="B586" i="4"/>
  <c r="C585" i="4"/>
  <c r="B585" i="4"/>
  <c r="C584" i="4"/>
  <c r="B584" i="4"/>
  <c r="C583" i="4"/>
  <c r="B583" i="4"/>
  <c r="C582" i="4"/>
  <c r="B582" i="4"/>
  <c r="C581" i="4"/>
  <c r="B581" i="4"/>
  <c r="C580" i="4"/>
  <c r="B580" i="4"/>
  <c r="C579" i="4"/>
  <c r="B579" i="4"/>
  <c r="C578" i="4"/>
  <c r="B578" i="4"/>
  <c r="C577" i="4"/>
  <c r="B577" i="4"/>
  <c r="C576" i="4"/>
  <c r="B576" i="4"/>
  <c r="C575" i="4"/>
  <c r="B575" i="4"/>
  <c r="C574" i="4"/>
  <c r="B574" i="4"/>
  <c r="C573" i="4"/>
  <c r="B573" i="4"/>
  <c r="C572" i="4"/>
  <c r="B572" i="4"/>
  <c r="C571" i="4"/>
  <c r="B571" i="4"/>
  <c r="C570" i="4"/>
  <c r="B570" i="4"/>
  <c r="C569" i="4"/>
  <c r="B569" i="4"/>
  <c r="C568" i="4"/>
  <c r="B568" i="4"/>
  <c r="C567" i="4"/>
  <c r="B567" i="4"/>
  <c r="G566" i="4"/>
  <c r="C566" i="4"/>
  <c r="B566" i="4"/>
  <c r="G565" i="4"/>
  <c r="C565" i="4"/>
  <c r="B565" i="4"/>
  <c r="C564" i="4"/>
  <c r="B564" i="4"/>
  <c r="G563" i="4"/>
  <c r="C563" i="4"/>
  <c r="B563" i="4"/>
  <c r="C562" i="4"/>
  <c r="B562" i="4"/>
  <c r="C561" i="4"/>
  <c r="B561" i="4"/>
  <c r="C560" i="4"/>
  <c r="B560" i="4"/>
  <c r="G559" i="4"/>
  <c r="C559" i="4"/>
  <c r="B559" i="4"/>
  <c r="C558" i="4"/>
  <c r="B558" i="4"/>
  <c r="G557" i="4"/>
  <c r="C557" i="4"/>
  <c r="B557" i="4"/>
  <c r="C556" i="4"/>
  <c r="B556" i="4"/>
  <c r="C555" i="4"/>
  <c r="B555" i="4"/>
  <c r="C554" i="4"/>
  <c r="B554" i="4"/>
  <c r="C553" i="4"/>
  <c r="B553" i="4"/>
  <c r="C552" i="4"/>
  <c r="B552" i="4"/>
  <c r="C551" i="4"/>
  <c r="B551" i="4"/>
  <c r="G550" i="4"/>
  <c r="C550" i="4"/>
  <c r="B550" i="4"/>
  <c r="C549" i="4"/>
  <c r="B549" i="4"/>
  <c r="C548" i="4"/>
  <c r="B548" i="4"/>
  <c r="G547" i="4"/>
  <c r="C547" i="4"/>
  <c r="B547" i="4"/>
  <c r="C546" i="4"/>
  <c r="B546" i="4"/>
  <c r="G545" i="4"/>
  <c r="C545" i="4"/>
  <c r="B545" i="4"/>
  <c r="G544" i="4"/>
  <c r="C544" i="4"/>
  <c r="B544" i="4"/>
  <c r="G543" i="4"/>
  <c r="C543" i="4"/>
  <c r="B543" i="4"/>
  <c r="G542" i="4"/>
  <c r="C542" i="4"/>
  <c r="B542" i="4"/>
  <c r="G541" i="4"/>
  <c r="C541" i="4"/>
  <c r="B541" i="4"/>
  <c r="C540" i="4"/>
  <c r="B540" i="4"/>
  <c r="G539" i="4"/>
  <c r="C539" i="4"/>
  <c r="B539" i="4"/>
  <c r="C538" i="4"/>
  <c r="B538" i="4"/>
  <c r="G537" i="4"/>
  <c r="C537" i="4"/>
  <c r="B537" i="4"/>
  <c r="C536" i="4"/>
  <c r="B536" i="4"/>
  <c r="G535" i="4"/>
  <c r="C535" i="4"/>
  <c r="B535" i="4"/>
  <c r="G534" i="4"/>
  <c r="C534" i="4"/>
  <c r="B534" i="4"/>
  <c r="G533" i="4"/>
  <c r="C533" i="4"/>
  <c r="B533" i="4"/>
  <c r="C532" i="4"/>
  <c r="B532" i="4"/>
  <c r="G531" i="4"/>
  <c r="C531" i="4"/>
  <c r="B531" i="4"/>
  <c r="C530" i="4"/>
  <c r="B530" i="4"/>
  <c r="G529" i="4"/>
  <c r="C529" i="4"/>
  <c r="B529" i="4"/>
  <c r="C528" i="4"/>
  <c r="B528" i="4"/>
  <c r="C527" i="4"/>
  <c r="B527" i="4"/>
  <c r="C526" i="4"/>
  <c r="B526" i="4"/>
  <c r="C525" i="4"/>
  <c r="B525" i="4"/>
  <c r="C524" i="4"/>
  <c r="B524" i="4"/>
  <c r="C523" i="4"/>
  <c r="B523" i="4"/>
  <c r="C522" i="4"/>
  <c r="B522" i="4"/>
  <c r="G521" i="4"/>
  <c r="C521" i="4"/>
  <c r="B521" i="4"/>
  <c r="C520" i="4"/>
  <c r="B520" i="4"/>
  <c r="G519" i="4"/>
  <c r="C519" i="4"/>
  <c r="B519" i="4"/>
  <c r="C518" i="4"/>
  <c r="B518" i="4"/>
  <c r="C517" i="4"/>
  <c r="B517" i="4"/>
  <c r="G516" i="4"/>
  <c r="C516" i="4"/>
  <c r="B516" i="4"/>
  <c r="C515" i="4"/>
  <c r="B515" i="4"/>
  <c r="C514" i="4"/>
  <c r="B514" i="4"/>
  <c r="C513" i="4"/>
  <c r="B513" i="4"/>
  <c r="C512" i="4"/>
  <c r="B512" i="4"/>
  <c r="C511" i="4"/>
  <c r="B511" i="4"/>
  <c r="C510" i="4"/>
  <c r="B510" i="4"/>
  <c r="C509" i="4"/>
  <c r="B509" i="4"/>
  <c r="C508" i="4"/>
  <c r="B508" i="4"/>
  <c r="C507" i="4"/>
  <c r="B507" i="4"/>
  <c r="G506" i="4"/>
  <c r="C506" i="4"/>
  <c r="B506" i="4"/>
  <c r="G505" i="4"/>
  <c r="C505" i="4"/>
  <c r="B505" i="4"/>
  <c r="C504" i="4"/>
  <c r="B504" i="4"/>
  <c r="C503" i="4"/>
  <c r="B503" i="4"/>
  <c r="C502" i="4"/>
  <c r="B502" i="4"/>
  <c r="G501" i="4"/>
  <c r="C501" i="4"/>
  <c r="B501" i="4"/>
  <c r="G500" i="4"/>
  <c r="C500" i="4"/>
  <c r="B500" i="4"/>
  <c r="C499" i="4"/>
  <c r="B499" i="4"/>
  <c r="C498" i="4"/>
  <c r="B498" i="4"/>
  <c r="C497" i="4"/>
  <c r="B497" i="4"/>
  <c r="C496" i="4"/>
  <c r="B496" i="4"/>
  <c r="C495" i="4"/>
  <c r="B495" i="4"/>
  <c r="C494" i="4"/>
  <c r="B494" i="4"/>
  <c r="C493" i="4"/>
  <c r="B493" i="4"/>
  <c r="C492" i="4"/>
  <c r="B492" i="4"/>
  <c r="C491" i="4"/>
  <c r="B491" i="4"/>
  <c r="C490" i="4"/>
  <c r="B490" i="4"/>
  <c r="G489" i="4"/>
  <c r="C489" i="4"/>
  <c r="B489" i="4"/>
  <c r="C488" i="4"/>
  <c r="B488" i="4"/>
  <c r="C487" i="4"/>
  <c r="B487" i="4"/>
  <c r="C486" i="4"/>
  <c r="B486" i="4"/>
  <c r="C485" i="4"/>
  <c r="B485" i="4"/>
  <c r="C484" i="4"/>
  <c r="B484" i="4"/>
  <c r="C483" i="4"/>
  <c r="B483" i="4"/>
  <c r="C482" i="4"/>
  <c r="B482" i="4"/>
  <c r="C481" i="4"/>
  <c r="B481" i="4"/>
  <c r="C480" i="4"/>
  <c r="B480" i="4"/>
  <c r="C479" i="4"/>
  <c r="B479" i="4"/>
  <c r="C478" i="4"/>
  <c r="B478" i="4"/>
  <c r="G477" i="4"/>
  <c r="C477" i="4"/>
  <c r="B477" i="4"/>
  <c r="G476" i="4"/>
  <c r="C476" i="4"/>
  <c r="B476" i="4"/>
  <c r="C475" i="4"/>
  <c r="B475" i="4"/>
  <c r="G474" i="4"/>
  <c r="C474" i="4"/>
  <c r="B474" i="4"/>
  <c r="C473" i="4"/>
  <c r="B473" i="4"/>
  <c r="C472" i="4"/>
  <c r="B472" i="4"/>
  <c r="C471" i="4"/>
  <c r="B471" i="4"/>
  <c r="C470" i="4"/>
  <c r="B470" i="4"/>
  <c r="C469" i="4"/>
  <c r="B469" i="4"/>
  <c r="G468" i="4"/>
  <c r="C468" i="4"/>
  <c r="B468" i="4"/>
  <c r="C467" i="4"/>
  <c r="B467" i="4"/>
  <c r="C466" i="4"/>
  <c r="B466" i="4"/>
  <c r="C465" i="4"/>
  <c r="B465" i="4"/>
  <c r="G464" i="4"/>
  <c r="C464" i="4"/>
  <c r="B464" i="4"/>
  <c r="C463" i="4"/>
  <c r="B463" i="4"/>
  <c r="C462" i="4"/>
  <c r="B462" i="4"/>
  <c r="C461" i="4"/>
  <c r="B461" i="4"/>
  <c r="G460" i="4"/>
  <c r="C460" i="4"/>
  <c r="B460" i="4"/>
  <c r="G459" i="4"/>
  <c r="C459" i="4"/>
  <c r="B459" i="4"/>
  <c r="C458" i="4"/>
  <c r="B458" i="4"/>
  <c r="C457" i="4"/>
  <c r="B457" i="4"/>
  <c r="C456" i="4"/>
  <c r="B456" i="4"/>
  <c r="G455" i="4"/>
  <c r="C455" i="4"/>
  <c r="B455" i="4"/>
  <c r="C454" i="4"/>
  <c r="B454" i="4"/>
  <c r="C453" i="4"/>
  <c r="B453" i="4"/>
  <c r="G452" i="4"/>
  <c r="C452" i="4"/>
  <c r="B452" i="4"/>
  <c r="C451" i="4"/>
  <c r="B451" i="4"/>
  <c r="C450" i="4"/>
  <c r="B450" i="4"/>
  <c r="C449" i="4"/>
  <c r="B449" i="4"/>
  <c r="G448" i="4"/>
  <c r="C448" i="4"/>
  <c r="B448" i="4"/>
  <c r="C447" i="4"/>
  <c r="B447" i="4"/>
  <c r="C446" i="4"/>
  <c r="B446" i="4"/>
  <c r="G445" i="4"/>
  <c r="C445" i="4"/>
  <c r="B445" i="4"/>
  <c r="C444" i="4"/>
  <c r="B444" i="4"/>
  <c r="C443" i="4"/>
  <c r="B443" i="4"/>
  <c r="G442" i="4"/>
  <c r="C442" i="4"/>
  <c r="B442" i="4"/>
  <c r="C441" i="4"/>
  <c r="B441" i="4"/>
  <c r="C440" i="4"/>
  <c r="B440" i="4"/>
  <c r="G439" i="4"/>
  <c r="C439" i="4"/>
  <c r="B439" i="4"/>
  <c r="G438" i="4"/>
  <c r="C438" i="4"/>
  <c r="B438" i="4"/>
  <c r="C437" i="4"/>
  <c r="B437" i="4"/>
  <c r="C436" i="4"/>
  <c r="B436" i="4"/>
  <c r="C435" i="4"/>
  <c r="B435" i="4"/>
  <c r="C434" i="4"/>
  <c r="B434" i="4"/>
  <c r="G433" i="4"/>
  <c r="C433" i="4"/>
  <c r="B433" i="4"/>
  <c r="C432" i="4"/>
  <c r="B432" i="4"/>
  <c r="C431" i="4"/>
  <c r="B431" i="4"/>
  <c r="G430" i="4"/>
  <c r="C430" i="4"/>
  <c r="B430" i="4"/>
  <c r="G429" i="4"/>
  <c r="C429" i="4"/>
  <c r="B429" i="4"/>
  <c r="C428" i="4"/>
  <c r="B428" i="4"/>
  <c r="G427" i="4"/>
  <c r="C427" i="4"/>
  <c r="B427" i="4"/>
  <c r="G426" i="4"/>
  <c r="C426" i="4"/>
  <c r="B426" i="4"/>
  <c r="C425" i="4"/>
  <c r="B425" i="4"/>
  <c r="C424" i="4"/>
  <c r="B424" i="4"/>
  <c r="C423" i="4"/>
  <c r="B423" i="4"/>
  <c r="G422" i="4"/>
  <c r="C422" i="4"/>
  <c r="B422" i="4"/>
  <c r="C421" i="4"/>
  <c r="B421" i="4"/>
  <c r="G420" i="4"/>
  <c r="C420" i="4"/>
  <c r="B420" i="4"/>
  <c r="C419" i="4"/>
  <c r="B419" i="4"/>
  <c r="C418" i="4"/>
  <c r="B418" i="4"/>
  <c r="G417" i="4"/>
  <c r="C417" i="4"/>
  <c r="B417" i="4"/>
  <c r="G416" i="4"/>
  <c r="C416" i="4"/>
  <c r="B416" i="4"/>
  <c r="C415" i="4"/>
  <c r="B415" i="4"/>
  <c r="C414" i="4"/>
  <c r="B414" i="4"/>
  <c r="G413" i="4"/>
  <c r="C413" i="4"/>
  <c r="B413" i="4"/>
  <c r="G412" i="4"/>
  <c r="C412" i="4"/>
  <c r="B412" i="4"/>
  <c r="C411" i="4"/>
  <c r="B411" i="4"/>
  <c r="C410" i="4"/>
  <c r="B410" i="4"/>
  <c r="C409" i="4"/>
  <c r="B409" i="4"/>
  <c r="C408" i="4"/>
  <c r="B408" i="4"/>
  <c r="G407" i="4"/>
  <c r="C407" i="4"/>
  <c r="B407" i="4"/>
  <c r="C406" i="4"/>
  <c r="B406" i="4"/>
  <c r="C405" i="4"/>
  <c r="B405" i="4"/>
  <c r="C404" i="4"/>
  <c r="B404" i="4"/>
  <c r="C403" i="4"/>
  <c r="B403" i="4"/>
  <c r="G402" i="4"/>
  <c r="C402" i="4"/>
  <c r="B402" i="4"/>
  <c r="C401" i="4"/>
  <c r="B401" i="4"/>
  <c r="C400" i="4"/>
  <c r="B400" i="4"/>
  <c r="G399" i="4"/>
  <c r="C399" i="4"/>
  <c r="B399" i="4"/>
  <c r="C398" i="4"/>
  <c r="B398" i="4"/>
  <c r="C397" i="4"/>
  <c r="B397" i="4"/>
  <c r="C396" i="4"/>
  <c r="B396" i="4"/>
  <c r="C395" i="4"/>
  <c r="B395" i="4"/>
  <c r="C394" i="4"/>
  <c r="B394" i="4"/>
  <c r="C393" i="4"/>
  <c r="B393" i="4"/>
  <c r="C392" i="4"/>
  <c r="B392" i="4"/>
  <c r="C391" i="4"/>
  <c r="B391" i="4"/>
  <c r="G390" i="4"/>
  <c r="C390" i="4"/>
  <c r="B390" i="4"/>
  <c r="G389" i="4"/>
  <c r="C389" i="4"/>
  <c r="B389" i="4"/>
  <c r="C388" i="4"/>
  <c r="B388" i="4"/>
  <c r="C387" i="4"/>
  <c r="B387" i="4"/>
  <c r="G386" i="4"/>
  <c r="C386" i="4"/>
  <c r="B386" i="4"/>
  <c r="C385" i="4"/>
  <c r="B385" i="4"/>
  <c r="C384" i="4"/>
  <c r="B384" i="4"/>
  <c r="G383" i="4"/>
  <c r="C383" i="4"/>
  <c r="B383" i="4"/>
  <c r="G382" i="4"/>
  <c r="C382" i="4"/>
  <c r="B382" i="4"/>
  <c r="C381" i="4"/>
  <c r="B381" i="4"/>
  <c r="C380" i="4"/>
  <c r="B380" i="4"/>
  <c r="G379" i="4"/>
  <c r="C379" i="4"/>
  <c r="B379" i="4"/>
  <c r="C378" i="4"/>
  <c r="B378" i="4"/>
  <c r="C377" i="4"/>
  <c r="B377" i="4"/>
  <c r="C376" i="4"/>
  <c r="B376" i="4"/>
  <c r="G375" i="4"/>
  <c r="C375" i="4"/>
  <c r="B375" i="4"/>
  <c r="G374" i="4"/>
  <c r="C374" i="4"/>
  <c r="B374" i="4"/>
  <c r="C373" i="4"/>
  <c r="B373" i="4"/>
  <c r="C372" i="4"/>
  <c r="B372" i="4"/>
  <c r="C371" i="4"/>
  <c r="B371" i="4"/>
  <c r="C370" i="4"/>
  <c r="B370" i="4"/>
  <c r="G369" i="4"/>
  <c r="C369" i="4"/>
  <c r="B369" i="4"/>
  <c r="C368" i="4"/>
  <c r="B368" i="4"/>
  <c r="G367" i="4"/>
  <c r="C367" i="4"/>
  <c r="B367" i="4"/>
  <c r="C366" i="4"/>
  <c r="B366" i="4"/>
  <c r="C365" i="4"/>
  <c r="B365" i="4"/>
  <c r="C364" i="4"/>
  <c r="B364" i="4"/>
  <c r="C363" i="4"/>
  <c r="B363" i="4"/>
  <c r="C362" i="4"/>
  <c r="B362" i="4"/>
  <c r="C361" i="4"/>
  <c r="B361" i="4"/>
  <c r="C360" i="4"/>
  <c r="B360" i="4"/>
  <c r="C359" i="4"/>
  <c r="B359" i="4"/>
  <c r="G358" i="4"/>
  <c r="C358" i="4"/>
  <c r="B358" i="4"/>
  <c r="C357" i="4"/>
  <c r="B357" i="4"/>
  <c r="C356" i="4"/>
  <c r="B356" i="4"/>
  <c r="C355" i="4"/>
  <c r="B355" i="4"/>
  <c r="G354" i="4"/>
  <c r="C354" i="4"/>
  <c r="B354" i="4"/>
  <c r="C353" i="4"/>
  <c r="B353" i="4"/>
  <c r="C352" i="4"/>
  <c r="B352" i="4"/>
  <c r="C351" i="4"/>
  <c r="B351" i="4"/>
  <c r="C350" i="4"/>
  <c r="B350" i="4"/>
  <c r="C349" i="4"/>
  <c r="B349" i="4"/>
  <c r="C348" i="4"/>
  <c r="B348" i="4"/>
  <c r="C347" i="4"/>
  <c r="B347" i="4"/>
  <c r="C346" i="4"/>
  <c r="B346" i="4"/>
  <c r="G345" i="4"/>
  <c r="C345" i="4"/>
  <c r="B345" i="4"/>
  <c r="G344" i="4"/>
  <c r="C344" i="4"/>
  <c r="B344" i="4"/>
  <c r="C343" i="4"/>
  <c r="B343" i="4"/>
  <c r="C342" i="4"/>
  <c r="B342" i="4"/>
  <c r="C341" i="4"/>
  <c r="B341" i="4"/>
  <c r="C340" i="4"/>
  <c r="B340" i="4"/>
  <c r="C339" i="4"/>
  <c r="B339" i="4"/>
  <c r="C338" i="4"/>
  <c r="B338" i="4"/>
  <c r="G337" i="4"/>
  <c r="C337" i="4"/>
  <c r="B337" i="4"/>
  <c r="C336" i="4"/>
  <c r="B336" i="4"/>
  <c r="C335" i="4"/>
  <c r="B335" i="4"/>
  <c r="C334" i="4"/>
  <c r="B334" i="4"/>
  <c r="C333" i="4"/>
  <c r="B333" i="4"/>
  <c r="C332" i="4"/>
  <c r="B332" i="4"/>
  <c r="C331" i="4"/>
  <c r="B331" i="4"/>
  <c r="C330" i="4"/>
  <c r="B330" i="4"/>
  <c r="C329" i="4"/>
  <c r="B329" i="4"/>
  <c r="C328" i="4"/>
  <c r="B328" i="4"/>
  <c r="C327" i="4"/>
  <c r="B327" i="4"/>
  <c r="G326" i="4"/>
  <c r="C326" i="4"/>
  <c r="B326" i="4"/>
  <c r="C325" i="4"/>
  <c r="B325" i="4"/>
  <c r="C324" i="4"/>
  <c r="B324" i="4"/>
  <c r="G323" i="4"/>
  <c r="C323" i="4"/>
  <c r="B323" i="4"/>
  <c r="C322" i="4"/>
  <c r="B322" i="4"/>
  <c r="C321" i="4"/>
  <c r="B321" i="4"/>
  <c r="G320" i="4"/>
  <c r="C320" i="4"/>
  <c r="B320" i="4"/>
  <c r="C319" i="4"/>
  <c r="B319" i="4"/>
  <c r="C318" i="4"/>
  <c r="B318" i="4"/>
  <c r="C317" i="4"/>
  <c r="B317" i="4"/>
  <c r="G316" i="4"/>
  <c r="C316" i="4"/>
  <c r="B316" i="4"/>
  <c r="C315" i="4"/>
  <c r="B315" i="4"/>
  <c r="C314" i="4"/>
  <c r="B314" i="4"/>
  <c r="C313" i="4"/>
  <c r="B313" i="4"/>
  <c r="G312" i="4"/>
  <c r="C312" i="4"/>
  <c r="B312" i="4"/>
  <c r="C311" i="4"/>
  <c r="B311" i="4"/>
  <c r="C310" i="4"/>
  <c r="B310" i="4"/>
  <c r="C309" i="4"/>
  <c r="B309" i="4"/>
  <c r="C308" i="4"/>
  <c r="B308" i="4"/>
  <c r="C307" i="4"/>
  <c r="B307" i="4"/>
  <c r="C306" i="4"/>
  <c r="B306" i="4"/>
  <c r="G305" i="4"/>
  <c r="C305" i="4"/>
  <c r="B305" i="4"/>
  <c r="G304" i="4"/>
  <c r="C304" i="4"/>
  <c r="B304" i="4"/>
  <c r="C303" i="4"/>
  <c r="B303" i="4"/>
  <c r="C302" i="4"/>
  <c r="B302" i="4"/>
  <c r="C301" i="4"/>
  <c r="B301" i="4"/>
  <c r="C300" i="4"/>
  <c r="B300" i="4"/>
  <c r="G299" i="4"/>
  <c r="C299" i="4"/>
  <c r="B299" i="4"/>
  <c r="C298" i="4"/>
  <c r="B298" i="4"/>
  <c r="C297" i="4"/>
  <c r="B297" i="4"/>
  <c r="C296" i="4"/>
  <c r="B296" i="4"/>
  <c r="C295" i="4"/>
  <c r="B295" i="4"/>
  <c r="G294" i="4"/>
  <c r="C294" i="4"/>
  <c r="B294" i="4"/>
  <c r="C293" i="4"/>
  <c r="B293" i="4"/>
  <c r="C292" i="4"/>
  <c r="B292" i="4"/>
  <c r="G291" i="4"/>
  <c r="C291" i="4"/>
  <c r="B291" i="4"/>
  <c r="C290" i="4"/>
  <c r="B290" i="4"/>
  <c r="C289" i="4"/>
  <c r="B289" i="4"/>
  <c r="C288" i="4"/>
  <c r="B288" i="4"/>
  <c r="C287" i="4"/>
  <c r="B287" i="4"/>
  <c r="G286" i="4"/>
  <c r="C286" i="4"/>
  <c r="B286" i="4"/>
  <c r="C285" i="4"/>
  <c r="B285" i="4"/>
  <c r="C284" i="4"/>
  <c r="B284" i="4"/>
  <c r="C283" i="4"/>
  <c r="B283" i="4"/>
  <c r="C282" i="4"/>
  <c r="B282" i="4"/>
  <c r="C281" i="4"/>
  <c r="B281" i="4"/>
  <c r="G280" i="4"/>
  <c r="C280" i="4"/>
  <c r="B280" i="4"/>
  <c r="C279" i="4"/>
  <c r="B279" i="4"/>
  <c r="C278" i="4"/>
  <c r="B278" i="4"/>
  <c r="C277" i="4"/>
  <c r="B277" i="4"/>
  <c r="G276" i="4"/>
  <c r="C276" i="4"/>
  <c r="B276" i="4"/>
  <c r="C275" i="4"/>
  <c r="B275" i="4"/>
  <c r="C274" i="4"/>
  <c r="B274" i="4"/>
  <c r="G273" i="4"/>
  <c r="C273" i="4"/>
  <c r="B273" i="4"/>
  <c r="C272" i="4"/>
  <c r="B272" i="4"/>
  <c r="G271" i="4"/>
  <c r="C271" i="4"/>
  <c r="B271" i="4"/>
  <c r="C270" i="4"/>
  <c r="B270" i="4"/>
  <c r="C269" i="4"/>
  <c r="B269" i="4"/>
  <c r="C268" i="4"/>
  <c r="B268" i="4"/>
  <c r="C267" i="4"/>
  <c r="B267" i="4"/>
  <c r="C266" i="4"/>
  <c r="B266" i="4"/>
  <c r="G265" i="4"/>
  <c r="C265" i="4"/>
  <c r="B265" i="4"/>
  <c r="C264" i="4"/>
  <c r="B264" i="4"/>
  <c r="C263" i="4"/>
  <c r="B263" i="4"/>
  <c r="C262" i="4"/>
  <c r="B262" i="4"/>
  <c r="C261" i="4"/>
  <c r="B261" i="4"/>
  <c r="C260" i="4"/>
  <c r="B260" i="4"/>
  <c r="G259" i="4"/>
  <c r="C259" i="4"/>
  <c r="B259" i="4"/>
  <c r="G258" i="4"/>
  <c r="C258" i="4"/>
  <c r="B258" i="4"/>
  <c r="C257" i="4"/>
  <c r="B257" i="4"/>
  <c r="C256" i="4"/>
  <c r="B256" i="4"/>
  <c r="G255" i="4"/>
  <c r="C255" i="4"/>
  <c r="B255" i="4"/>
  <c r="C254" i="4"/>
  <c r="B254" i="4"/>
  <c r="C253" i="4"/>
  <c r="B253" i="4"/>
  <c r="C252" i="4"/>
  <c r="B252" i="4"/>
  <c r="C251" i="4"/>
  <c r="B251" i="4"/>
  <c r="G250" i="4"/>
  <c r="C250" i="4"/>
  <c r="B250" i="4"/>
  <c r="C249" i="4"/>
  <c r="B249" i="4"/>
  <c r="C248" i="4"/>
  <c r="B248" i="4"/>
  <c r="C247" i="4"/>
  <c r="B247" i="4"/>
  <c r="C246" i="4"/>
  <c r="B246" i="4"/>
  <c r="G245" i="4"/>
  <c r="C245" i="4"/>
  <c r="B245" i="4"/>
  <c r="C244" i="4"/>
  <c r="B244" i="4"/>
  <c r="G243" i="4"/>
  <c r="C243" i="4"/>
  <c r="B243" i="4"/>
  <c r="C242" i="4"/>
  <c r="B242" i="4"/>
  <c r="C241" i="4"/>
  <c r="B241" i="4"/>
  <c r="C240" i="4"/>
  <c r="B240" i="4"/>
  <c r="C239" i="4"/>
  <c r="B239" i="4"/>
  <c r="C238" i="4"/>
  <c r="B238" i="4"/>
  <c r="C237" i="4"/>
  <c r="B237" i="4"/>
  <c r="C236" i="4"/>
  <c r="B236" i="4"/>
  <c r="C235" i="4"/>
  <c r="B235" i="4"/>
  <c r="C234" i="4"/>
  <c r="B234" i="4"/>
  <c r="C233" i="4"/>
  <c r="B233" i="4"/>
  <c r="C232" i="4"/>
  <c r="B232" i="4"/>
  <c r="C231" i="4"/>
  <c r="B231" i="4"/>
  <c r="C230" i="4"/>
  <c r="B230" i="4"/>
  <c r="C229" i="4"/>
  <c r="B229" i="4"/>
  <c r="C228" i="4"/>
  <c r="B228" i="4"/>
  <c r="C227" i="4"/>
  <c r="B227" i="4"/>
  <c r="C226" i="4"/>
  <c r="B226" i="4"/>
  <c r="C225" i="4"/>
  <c r="B225" i="4"/>
  <c r="C224" i="4"/>
  <c r="B224" i="4"/>
  <c r="G223" i="4"/>
  <c r="C223" i="4"/>
  <c r="B223" i="4"/>
  <c r="C222" i="4"/>
  <c r="B222" i="4"/>
  <c r="G221" i="4"/>
  <c r="C221" i="4"/>
  <c r="B221" i="4"/>
  <c r="G220" i="4"/>
  <c r="C220" i="4"/>
  <c r="B220" i="4"/>
  <c r="C219" i="4"/>
  <c r="B219" i="4"/>
  <c r="C218" i="4"/>
  <c r="B218" i="4"/>
  <c r="C217" i="4"/>
  <c r="B217" i="4"/>
  <c r="G216" i="4"/>
  <c r="C216" i="4"/>
  <c r="B216" i="4"/>
  <c r="C215" i="4"/>
  <c r="B215" i="4"/>
  <c r="C214" i="4"/>
  <c r="B214" i="4"/>
  <c r="C213" i="4"/>
  <c r="B213" i="4"/>
  <c r="C212" i="4"/>
  <c r="B212" i="4"/>
  <c r="C211" i="4"/>
  <c r="B211" i="4"/>
  <c r="C210" i="4"/>
  <c r="B210" i="4"/>
  <c r="C209" i="4"/>
  <c r="B209" i="4"/>
  <c r="G208" i="4"/>
  <c r="C208" i="4"/>
  <c r="B208" i="4"/>
  <c r="C207" i="4"/>
  <c r="B207" i="4"/>
  <c r="G206" i="4"/>
  <c r="C206" i="4"/>
  <c r="B206" i="4"/>
  <c r="C205" i="4"/>
  <c r="B205" i="4"/>
  <c r="C204" i="4"/>
  <c r="B204" i="4"/>
  <c r="C203" i="4"/>
  <c r="B203" i="4"/>
  <c r="G202" i="4"/>
  <c r="C202" i="4"/>
  <c r="B202" i="4"/>
  <c r="C201" i="4"/>
  <c r="B201" i="4"/>
  <c r="C200" i="4"/>
  <c r="B200" i="4"/>
  <c r="C199" i="4"/>
  <c r="B199" i="4"/>
  <c r="C198" i="4"/>
  <c r="B198" i="4"/>
  <c r="C197" i="4"/>
  <c r="B197" i="4"/>
  <c r="C196" i="4"/>
  <c r="B196" i="4"/>
  <c r="C195" i="4"/>
  <c r="B195" i="4"/>
  <c r="C194" i="4"/>
  <c r="B194" i="4"/>
  <c r="G193" i="4"/>
  <c r="C193" i="4"/>
  <c r="B193" i="4"/>
  <c r="C192" i="4"/>
  <c r="B192" i="4"/>
  <c r="G191" i="4"/>
  <c r="C191" i="4"/>
  <c r="B191" i="4"/>
  <c r="C190" i="4"/>
  <c r="B190" i="4"/>
  <c r="C189" i="4"/>
  <c r="B189" i="4"/>
  <c r="C188" i="4"/>
  <c r="B188" i="4"/>
  <c r="G187" i="4"/>
  <c r="C187" i="4"/>
  <c r="B187" i="4"/>
  <c r="C186" i="4"/>
  <c r="B186" i="4"/>
  <c r="C185" i="4"/>
  <c r="B185" i="4"/>
  <c r="C184" i="4"/>
  <c r="B184" i="4"/>
  <c r="C183" i="4"/>
  <c r="B183" i="4"/>
  <c r="C182" i="4"/>
  <c r="B182" i="4"/>
  <c r="C181" i="4"/>
  <c r="B181" i="4"/>
  <c r="C180" i="4"/>
  <c r="B180" i="4"/>
  <c r="C179" i="4"/>
  <c r="B179" i="4"/>
  <c r="G178" i="4"/>
  <c r="C178" i="4"/>
  <c r="B178" i="4"/>
  <c r="C177" i="4"/>
  <c r="B177" i="4"/>
  <c r="C176" i="4"/>
  <c r="B176" i="4"/>
  <c r="C175" i="4"/>
  <c r="B175" i="4"/>
  <c r="C174" i="4"/>
  <c r="B174" i="4"/>
  <c r="C173" i="4"/>
  <c r="B173" i="4"/>
  <c r="C172" i="4"/>
  <c r="B172" i="4"/>
  <c r="C171" i="4"/>
  <c r="B171" i="4"/>
  <c r="C170" i="4"/>
  <c r="B170" i="4"/>
  <c r="C169" i="4"/>
  <c r="B169" i="4"/>
  <c r="C168" i="4"/>
  <c r="B168" i="4"/>
  <c r="C167" i="4"/>
  <c r="B167" i="4"/>
  <c r="C166" i="4"/>
  <c r="B166" i="4"/>
  <c r="G165" i="4"/>
  <c r="C165" i="4"/>
  <c r="B165" i="4"/>
  <c r="C164" i="4"/>
  <c r="B164" i="4"/>
  <c r="G163" i="4"/>
  <c r="C163" i="4"/>
  <c r="B163" i="4"/>
  <c r="C162" i="4"/>
  <c r="B162" i="4"/>
  <c r="G161" i="4"/>
  <c r="C161" i="4"/>
  <c r="B161" i="4"/>
  <c r="C160" i="4"/>
  <c r="B160" i="4"/>
  <c r="C159" i="4"/>
  <c r="B159" i="4"/>
  <c r="C158" i="4"/>
  <c r="B158" i="4"/>
  <c r="C157" i="4"/>
  <c r="B157" i="4"/>
  <c r="C156" i="4"/>
  <c r="B156" i="4"/>
  <c r="C155" i="4"/>
  <c r="B155" i="4"/>
  <c r="C154" i="4"/>
  <c r="B154" i="4"/>
  <c r="C153" i="4"/>
  <c r="B153" i="4"/>
  <c r="C152" i="4"/>
  <c r="B152" i="4"/>
  <c r="C151" i="4"/>
  <c r="B151" i="4"/>
  <c r="C150" i="4"/>
  <c r="B150" i="4"/>
  <c r="C149" i="4"/>
  <c r="B149" i="4"/>
  <c r="C148" i="4"/>
  <c r="B148" i="4"/>
  <c r="G147" i="4"/>
  <c r="C147" i="4"/>
  <c r="B147" i="4"/>
  <c r="C146" i="4"/>
  <c r="B146" i="4"/>
  <c r="C145" i="4"/>
  <c r="B145" i="4"/>
  <c r="C144" i="4"/>
  <c r="B144" i="4"/>
  <c r="C143" i="4"/>
  <c r="B143" i="4"/>
  <c r="C142" i="4"/>
  <c r="B142" i="4"/>
  <c r="C141" i="4"/>
  <c r="B141" i="4"/>
  <c r="C140" i="4"/>
  <c r="B140" i="4"/>
  <c r="C139" i="4"/>
  <c r="B139" i="4"/>
  <c r="C138" i="4"/>
  <c r="B138" i="4"/>
  <c r="C137" i="4"/>
  <c r="B137" i="4"/>
  <c r="G136" i="4"/>
  <c r="C136" i="4"/>
  <c r="B136" i="4"/>
  <c r="C135" i="4"/>
  <c r="B135" i="4"/>
  <c r="C134" i="4"/>
  <c r="B134" i="4"/>
  <c r="C133" i="4"/>
  <c r="B133" i="4"/>
  <c r="C132" i="4"/>
  <c r="B132" i="4"/>
  <c r="C131" i="4"/>
  <c r="B131" i="4"/>
  <c r="C130" i="4"/>
  <c r="B130" i="4"/>
  <c r="G129" i="4"/>
  <c r="C129" i="4"/>
  <c r="B129" i="4"/>
  <c r="C128" i="4"/>
  <c r="B128" i="4"/>
  <c r="C127" i="4"/>
  <c r="B127" i="4"/>
  <c r="G126" i="4"/>
  <c r="C126" i="4"/>
  <c r="B126" i="4"/>
  <c r="C125" i="4"/>
  <c r="B125" i="4"/>
  <c r="C124" i="4"/>
  <c r="B124" i="4"/>
  <c r="C123" i="4"/>
  <c r="B123" i="4"/>
  <c r="C122" i="4"/>
  <c r="B122" i="4"/>
  <c r="C121" i="4"/>
  <c r="B121" i="4"/>
  <c r="C120" i="4"/>
  <c r="B120" i="4"/>
  <c r="G119" i="4"/>
  <c r="C119" i="4"/>
  <c r="B119" i="4"/>
  <c r="C118" i="4"/>
  <c r="B118" i="4"/>
  <c r="C117" i="4"/>
  <c r="B117" i="4"/>
  <c r="C116" i="4"/>
  <c r="B116" i="4"/>
  <c r="G115" i="4"/>
  <c r="C115" i="4"/>
  <c r="B115" i="4"/>
  <c r="C114" i="4"/>
  <c r="B114" i="4"/>
  <c r="C113" i="4"/>
  <c r="B113" i="4"/>
  <c r="C112" i="4"/>
  <c r="B112" i="4"/>
  <c r="C111" i="4"/>
  <c r="B111" i="4"/>
  <c r="G110" i="4"/>
  <c r="C110" i="4"/>
  <c r="B110" i="4"/>
  <c r="C109" i="4"/>
  <c r="B109" i="4"/>
  <c r="C108" i="4"/>
  <c r="B108" i="4"/>
  <c r="C107" i="4"/>
  <c r="B107" i="4"/>
  <c r="C106" i="4"/>
  <c r="B106" i="4"/>
  <c r="C105" i="4"/>
  <c r="B105" i="4"/>
  <c r="C104" i="4"/>
  <c r="B104" i="4"/>
  <c r="C103" i="4"/>
  <c r="B103" i="4"/>
  <c r="C102" i="4"/>
  <c r="B102" i="4"/>
  <c r="C101" i="4"/>
  <c r="B101" i="4"/>
  <c r="C100" i="4"/>
  <c r="B100" i="4"/>
  <c r="C99" i="4"/>
  <c r="B99" i="4"/>
  <c r="C98" i="4"/>
  <c r="B98" i="4"/>
  <c r="C97" i="4"/>
  <c r="B97" i="4"/>
  <c r="C96" i="4"/>
  <c r="B96" i="4"/>
  <c r="C95" i="4"/>
  <c r="B95" i="4"/>
  <c r="C94" i="4"/>
  <c r="B94" i="4"/>
  <c r="C93" i="4"/>
  <c r="B93" i="4"/>
  <c r="C92" i="4"/>
  <c r="B92" i="4"/>
  <c r="C91" i="4"/>
  <c r="B91" i="4"/>
  <c r="G90" i="4"/>
  <c r="C90" i="4"/>
  <c r="B90" i="4"/>
  <c r="C89" i="4"/>
  <c r="B89" i="4"/>
  <c r="C88" i="4"/>
  <c r="B88" i="4"/>
  <c r="C87" i="4"/>
  <c r="B87" i="4"/>
  <c r="C86" i="4"/>
  <c r="B86" i="4"/>
  <c r="C85" i="4"/>
  <c r="B85" i="4"/>
  <c r="C84" i="4"/>
  <c r="B84" i="4"/>
  <c r="G83" i="4"/>
  <c r="C83" i="4"/>
  <c r="B83" i="4"/>
  <c r="C82" i="4"/>
  <c r="B82" i="4"/>
  <c r="C81" i="4"/>
  <c r="B81" i="4"/>
  <c r="C80" i="4"/>
  <c r="B80" i="4"/>
  <c r="C79" i="4"/>
  <c r="B79" i="4"/>
  <c r="G78" i="4"/>
  <c r="C78" i="4"/>
  <c r="B78" i="4"/>
  <c r="C77" i="4"/>
  <c r="B77" i="4"/>
  <c r="C76" i="4"/>
  <c r="B76" i="4"/>
  <c r="C75" i="4"/>
  <c r="B75" i="4"/>
  <c r="C74" i="4"/>
  <c r="B74" i="4"/>
  <c r="C73" i="4"/>
  <c r="B73" i="4"/>
  <c r="C72" i="4"/>
  <c r="B72" i="4"/>
  <c r="G71" i="4"/>
  <c r="C71" i="4"/>
  <c r="B71" i="4"/>
  <c r="C70" i="4"/>
  <c r="B70" i="4"/>
  <c r="C69" i="4"/>
  <c r="B69" i="4"/>
  <c r="C68" i="4"/>
  <c r="B68" i="4"/>
  <c r="C67" i="4"/>
  <c r="B67" i="4"/>
  <c r="C66" i="4"/>
  <c r="B66" i="4"/>
  <c r="C65" i="4"/>
  <c r="B65" i="4"/>
  <c r="C64" i="4"/>
  <c r="B64" i="4"/>
  <c r="C63" i="4"/>
  <c r="B63" i="4"/>
  <c r="C62" i="4"/>
  <c r="B62" i="4"/>
  <c r="G61" i="4"/>
  <c r="C61" i="4"/>
  <c r="B61" i="4"/>
  <c r="G60" i="4"/>
  <c r="C60" i="4"/>
  <c r="B60" i="4"/>
  <c r="C59" i="4"/>
  <c r="B59" i="4"/>
  <c r="C58" i="4"/>
  <c r="B58" i="4"/>
  <c r="C57" i="4"/>
  <c r="B57" i="4"/>
  <c r="C56" i="4"/>
  <c r="B56" i="4"/>
  <c r="C55" i="4"/>
  <c r="B55" i="4"/>
  <c r="G54" i="4"/>
  <c r="C54" i="4"/>
  <c r="B54" i="4"/>
  <c r="C53" i="4"/>
  <c r="B53" i="4"/>
  <c r="C52" i="4"/>
  <c r="B52" i="4"/>
  <c r="C51" i="4"/>
  <c r="B51" i="4"/>
  <c r="C50" i="4"/>
  <c r="B50" i="4"/>
  <c r="C49" i="4"/>
  <c r="B49" i="4"/>
  <c r="C48" i="4"/>
  <c r="B48" i="4"/>
  <c r="C47" i="4"/>
  <c r="B47" i="4"/>
  <c r="C46" i="4"/>
  <c r="B46" i="4"/>
  <c r="C45" i="4"/>
  <c r="B45" i="4"/>
  <c r="C44" i="4"/>
  <c r="B44" i="4"/>
  <c r="C43" i="4"/>
  <c r="B43" i="4"/>
  <c r="C42" i="4"/>
  <c r="B42" i="4"/>
  <c r="C41" i="4"/>
  <c r="B41" i="4"/>
  <c r="C40" i="4"/>
  <c r="B40" i="4"/>
  <c r="C39" i="4"/>
  <c r="B39" i="4"/>
  <c r="C38" i="4"/>
  <c r="B38" i="4"/>
  <c r="C37" i="4"/>
  <c r="B37" i="4"/>
  <c r="C36" i="4"/>
  <c r="B36" i="4"/>
  <c r="G35" i="4"/>
  <c r="C35" i="4"/>
  <c r="B35" i="4"/>
  <c r="C34" i="4"/>
  <c r="B34" i="4"/>
  <c r="C33" i="4"/>
  <c r="B33" i="4"/>
  <c r="C32" i="4"/>
  <c r="B32" i="4"/>
  <c r="C31" i="4"/>
  <c r="B31" i="4"/>
  <c r="C30" i="4"/>
  <c r="B30" i="4"/>
  <c r="C29" i="4"/>
  <c r="B29" i="4"/>
  <c r="G28" i="4"/>
  <c r="C28" i="4"/>
  <c r="B28" i="4"/>
  <c r="C27" i="4"/>
  <c r="B27" i="4"/>
  <c r="C26" i="4"/>
  <c r="B26" i="4"/>
  <c r="C25" i="4"/>
  <c r="B25" i="4"/>
  <c r="G24" i="4"/>
  <c r="C24" i="4"/>
  <c r="B24" i="4"/>
  <c r="C23" i="4"/>
  <c r="B23" i="4"/>
  <c r="C22" i="4"/>
  <c r="B22" i="4"/>
  <c r="C21" i="4"/>
  <c r="B21" i="4"/>
  <c r="C20" i="4"/>
  <c r="B20" i="4"/>
  <c r="G19" i="4"/>
  <c r="C19" i="4"/>
  <c r="B19" i="4"/>
  <c r="G18" i="4"/>
  <c r="C18" i="4"/>
  <c r="B18" i="4"/>
  <c r="C17" i="4"/>
  <c r="B17" i="4"/>
  <c r="G16" i="4"/>
  <c r="C16" i="4"/>
  <c r="B16" i="4"/>
  <c r="C15" i="4"/>
  <c r="B15" i="4"/>
  <c r="C14" i="4"/>
  <c r="B14" i="4"/>
  <c r="C13" i="4"/>
  <c r="B13" i="4"/>
  <c r="C12" i="4"/>
  <c r="B12" i="4"/>
  <c r="G11" i="4"/>
  <c r="C11" i="4"/>
  <c r="B11" i="4"/>
  <c r="G10" i="4"/>
  <c r="C10" i="4"/>
  <c r="B10" i="4"/>
  <c r="C9" i="4"/>
  <c r="B9" i="4"/>
  <c r="C8" i="4"/>
  <c r="B8" i="4"/>
  <c r="C7" i="4"/>
  <c r="B7" i="4"/>
  <c r="G6" i="4"/>
  <c r="C6" i="4"/>
  <c r="B6" i="4"/>
  <c r="G5" i="4"/>
  <c r="C5" i="4"/>
  <c r="B5" i="4"/>
  <c r="C4" i="4"/>
  <c r="B4" i="4"/>
  <c r="G3" i="4"/>
  <c r="C3" i="4"/>
  <c r="B3" i="4"/>
  <c r="C2" i="4"/>
  <c r="B2" i="4"/>
  <c r="D76" i="3"/>
  <c r="D2" i="3"/>
  <c r="F39" i="1"/>
  <c r="C38" i="1"/>
  <c r="Z32" i="1"/>
  <c r="X32" i="1"/>
  <c r="V32" i="1"/>
  <c r="T32" i="1"/>
  <c r="R32" i="1"/>
  <c r="N32" i="1"/>
  <c r="L32" i="1"/>
  <c r="J32" i="1"/>
  <c r="E32" i="1"/>
  <c r="D32" i="1"/>
  <c r="P31" i="1"/>
  <c r="AC30" i="1"/>
  <c r="AB30" i="1"/>
  <c r="AC29" i="1"/>
  <c r="P29" i="1"/>
  <c r="AC28" i="1"/>
  <c r="AB28" i="1"/>
  <c r="F28" i="1"/>
  <c r="AC27" i="1"/>
  <c r="AB27" i="1"/>
  <c r="F27" i="1"/>
  <c r="AC26" i="1"/>
  <c r="AB26" i="1"/>
  <c r="AC25" i="1"/>
  <c r="H25" i="1"/>
  <c r="H32" i="1" s="1"/>
  <c r="F25" i="1"/>
  <c r="AB25" i="1" s="1"/>
  <c r="AC24" i="1"/>
  <c r="F24" i="1"/>
  <c r="AB24" i="1" s="1"/>
  <c r="AA22" i="1"/>
  <c r="Z22" i="1"/>
  <c r="Y22" i="1"/>
  <c r="X22" i="1"/>
  <c r="W22" i="1"/>
  <c r="V22" i="1"/>
  <c r="U22" i="1"/>
  <c r="S22" i="1"/>
  <c r="Q22" i="1"/>
  <c r="O22" i="1"/>
  <c r="M22" i="1"/>
  <c r="K22" i="1"/>
  <c r="I22" i="1"/>
  <c r="G22" i="1"/>
  <c r="E22" i="1"/>
  <c r="AC21" i="1"/>
  <c r="N21" i="1"/>
  <c r="N22" i="1" s="1"/>
  <c r="N34" i="1" s="1"/>
  <c r="J21" i="1"/>
  <c r="F21" i="1"/>
  <c r="AC20" i="1"/>
  <c r="AB20" i="1"/>
  <c r="AC19" i="1"/>
  <c r="AB19" i="1"/>
  <c r="AC18" i="1"/>
  <c r="AC22" i="1" s="1"/>
  <c r="F18" i="1"/>
  <c r="D18" i="1"/>
  <c r="AC17" i="1"/>
  <c r="V17" i="1"/>
  <c r="T17" i="1"/>
  <c r="T22" i="1" s="1"/>
  <c r="R17" i="1"/>
  <c r="R22" i="1" s="1"/>
  <c r="R34" i="1" s="1"/>
  <c r="P17" i="1"/>
  <c r="P22" i="1" s="1"/>
  <c r="N17" i="1"/>
  <c r="L17" i="1"/>
  <c r="L22" i="1" s="1"/>
  <c r="J17" i="1"/>
  <c r="J22" i="1" s="1"/>
  <c r="H17" i="1"/>
  <c r="H22" i="1" s="1"/>
  <c r="F17" i="1"/>
  <c r="F22" i="1" s="1"/>
  <c r="F34" i="1" s="1"/>
  <c r="D17" i="1"/>
  <c r="D22" i="1" s="1"/>
  <c r="D34" i="1" s="1"/>
  <c r="D33" i="1" s="1"/>
  <c r="Z15" i="1"/>
  <c r="Z16" i="1" s="1"/>
  <c r="X15" i="1"/>
  <c r="X16" i="1" s="1"/>
  <c r="V15" i="1"/>
  <c r="V16" i="1" s="1"/>
  <c r="T15" i="1"/>
  <c r="R15" i="1"/>
  <c r="R16" i="1" s="1"/>
  <c r="O15" i="1"/>
  <c r="O16" i="1" s="1"/>
  <c r="N15" i="1"/>
  <c r="L15" i="1"/>
  <c r="H15" i="1"/>
  <c r="G15" i="1"/>
  <c r="G34" i="1" s="1"/>
  <c r="G33" i="1" s="1"/>
  <c r="F15" i="1"/>
  <c r="F16" i="1" s="1"/>
  <c r="D15" i="1"/>
  <c r="AD14" i="1"/>
  <c r="AC14" i="1"/>
  <c r="AB14" i="1"/>
  <c r="AC13" i="1"/>
  <c r="AD13" i="1" s="1"/>
  <c r="AB13" i="1"/>
  <c r="J13" i="1"/>
  <c r="AC12" i="1"/>
  <c r="AD12" i="1" s="1"/>
  <c r="AB12" i="1"/>
  <c r="AC11" i="1"/>
  <c r="AB11" i="1"/>
  <c r="AD11" i="1" s="1"/>
  <c r="AC10" i="1"/>
  <c r="P10" i="1"/>
  <c r="AB10" i="1" s="1"/>
  <c r="AC9" i="1"/>
  <c r="P9" i="1"/>
  <c r="J9" i="1"/>
  <c r="AC8" i="1"/>
  <c r="AB8" i="1"/>
  <c r="AC7" i="1"/>
  <c r="AB7" i="1"/>
  <c r="AD7" i="1" s="1"/>
  <c r="AB6" i="1"/>
  <c r="AA6" i="1"/>
  <c r="AA15" i="1" s="1"/>
  <c r="AA34" i="1" s="1"/>
  <c r="AA33" i="1" s="1"/>
  <c r="Y6" i="1"/>
  <c r="Y15" i="1" s="1"/>
  <c r="Y16" i="1" s="1"/>
  <c r="W6" i="1"/>
  <c r="W15" i="1" s="1"/>
  <c r="W34" i="1" s="1"/>
  <c r="W33" i="1" s="1"/>
  <c r="U6" i="1"/>
  <c r="U15" i="1" s="1"/>
  <c r="S6" i="1"/>
  <c r="S15" i="1" s="1"/>
  <c r="S34" i="1" s="1"/>
  <c r="S33" i="1" s="1"/>
  <c r="Q6" i="1"/>
  <c r="Q15" i="1" s="1"/>
  <c r="O6" i="1"/>
  <c r="M6" i="1"/>
  <c r="M15" i="1" s="1"/>
  <c r="M16" i="1" s="1"/>
  <c r="K6" i="1"/>
  <c r="K15" i="1" s="1"/>
  <c r="K34" i="1" s="1"/>
  <c r="K33" i="1" s="1"/>
  <c r="I6" i="1"/>
  <c r="I15" i="1" s="1"/>
  <c r="G6" i="1"/>
  <c r="E6" i="1"/>
  <c r="E15" i="1" s="1"/>
  <c r="AC5" i="1"/>
  <c r="AB5" i="1"/>
  <c r="AC4" i="1"/>
  <c r="P4" i="1"/>
  <c r="J4" i="1"/>
  <c r="J15" i="1" s="1"/>
  <c r="AC3" i="1"/>
  <c r="AB3" i="1"/>
  <c r="P3" i="1"/>
  <c r="N28" i="3"/>
  <c r="H28" i="3"/>
  <c r="F28" i="3"/>
  <c r="D28" i="3"/>
  <c r="M28" i="3"/>
  <c r="J28" i="3"/>
  <c r="L28" i="3"/>
  <c r="K28" i="3"/>
  <c r="G28" i="3"/>
  <c r="E28" i="3"/>
  <c r="I28" i="3"/>
  <c r="D3" i="3"/>
  <c r="F32" i="1" l="1"/>
  <c r="AD5" i="1"/>
  <c r="H34" i="1"/>
  <c r="T34" i="1"/>
  <c r="AD19" i="1"/>
  <c r="N33" i="1"/>
  <c r="G32" i="8"/>
  <c r="E16" i="1"/>
  <c r="Q16" i="1"/>
  <c r="P15" i="1"/>
  <c r="P16" i="1" s="1"/>
  <c r="Z33" i="1"/>
  <c r="L34" i="1"/>
  <c r="V34" i="1"/>
  <c r="V33" i="1" s="1"/>
  <c r="Z34" i="1"/>
  <c r="F22" i="8"/>
  <c r="G22" i="8" s="1"/>
  <c r="AB4" i="1"/>
  <c r="AD4" i="1" s="1"/>
  <c r="I16" i="1"/>
  <c r="U16" i="1"/>
  <c r="AD10" i="1"/>
  <c r="AA16" i="1"/>
  <c r="AD20" i="1"/>
  <c r="AD8" i="1"/>
  <c r="X34" i="1"/>
  <c r="X33" i="1" s="1"/>
  <c r="AC32" i="1"/>
  <c r="C35" i="3"/>
  <c r="D35" i="3"/>
  <c r="J35" i="3"/>
  <c r="K35" i="3"/>
  <c r="L35" i="3"/>
  <c r="M35" i="3"/>
  <c r="N35" i="3"/>
  <c r="I35" i="3"/>
  <c r="P35" i="3"/>
  <c r="E35" i="3"/>
  <c r="F35" i="3"/>
  <c r="G35" i="3"/>
  <c r="H35" i="3"/>
  <c r="C32" i="3"/>
  <c r="P32" i="3"/>
  <c r="O28" i="3"/>
  <c r="E32" i="3"/>
  <c r="I32" i="3"/>
  <c r="M32" i="3"/>
  <c r="N32" i="3"/>
  <c r="F32" i="3"/>
  <c r="J32" i="3"/>
  <c r="D32" i="3"/>
  <c r="G32" i="3"/>
  <c r="K32" i="3"/>
  <c r="H32" i="3"/>
  <c r="L32" i="3"/>
  <c r="L1429" i="4"/>
  <c r="N1430" i="4"/>
  <c r="N1431" i="4" s="1"/>
  <c r="N1432" i="4" s="1"/>
  <c r="O1461" i="4"/>
  <c r="D32" i="8"/>
  <c r="E32" i="8" s="1"/>
  <c r="H56" i="9"/>
  <c r="E3" i="3"/>
  <c r="P34" i="1"/>
  <c r="T33" i="1"/>
  <c r="J16" i="1"/>
  <c r="C36" i="1"/>
  <c r="J34" i="1"/>
  <c r="J33" i="1" s="1"/>
  <c r="N16" i="1"/>
  <c r="E33" i="1"/>
  <c r="R33" i="1"/>
  <c r="K16" i="1"/>
  <c r="E34" i="1"/>
  <c r="I34" i="1"/>
  <c r="I33" i="1" s="1"/>
  <c r="M34" i="1"/>
  <c r="M33" i="1" s="1"/>
  <c r="Q34" i="1"/>
  <c r="Q33" i="1" s="1"/>
  <c r="U34" i="1"/>
  <c r="U33" i="1" s="1"/>
  <c r="Y34" i="1"/>
  <c r="Y33" i="1" s="1"/>
  <c r="F33" i="1"/>
  <c r="O34" i="1"/>
  <c r="O33" i="1" s="1"/>
  <c r="AD3" i="1"/>
  <c r="AB9" i="1"/>
  <c r="AD9" i="1" s="1"/>
  <c r="D16" i="1"/>
  <c r="H16" i="1"/>
  <c r="L16" i="1"/>
  <c r="T16" i="1"/>
  <c r="G16" i="1"/>
  <c r="W16" i="1"/>
  <c r="AB21" i="1"/>
  <c r="P32" i="1"/>
  <c r="AB29" i="1"/>
  <c r="S16" i="1"/>
  <c r="AB18" i="1"/>
  <c r="H33" i="1"/>
  <c r="AC6" i="1"/>
  <c r="AD6" i="1" s="1"/>
  <c r="AB17" i="1"/>
  <c r="E19" i="8"/>
  <c r="L1430" i="4"/>
  <c r="AC15" i="1" l="1"/>
  <c r="O35" i="3"/>
  <c r="F33" i="8"/>
  <c r="G33" i="8" s="1"/>
  <c r="O29" i="3"/>
  <c r="O32" i="3" s="1"/>
  <c r="F64" i="3" a="1"/>
  <c r="F70" i="3" s="1"/>
  <c r="G70" i="3" s="1"/>
  <c r="D33" i="8"/>
  <c r="E33" i="8" s="1"/>
  <c r="M1430" i="4"/>
  <c r="M1429" i="4"/>
  <c r="L867" i="4"/>
  <c r="H76" i="3"/>
  <c r="N1433" i="4"/>
  <c r="P36" i="1"/>
  <c r="P33" i="1"/>
  <c r="AB32" i="1"/>
  <c r="AB22" i="1"/>
  <c r="AD22" i="1" s="1"/>
  <c r="AD17" i="1"/>
  <c r="C76" i="3"/>
  <c r="D58" i="3" s="1"/>
  <c r="D55" i="3" s="1"/>
  <c r="D56" i="3" s="1"/>
  <c r="AB16" i="1"/>
  <c r="AB15" i="1"/>
  <c r="AD15" i="1" s="1"/>
  <c r="L1431" i="4"/>
  <c r="E24" i="3"/>
  <c r="F67" i="3" l="1"/>
  <c r="G67" i="3" s="1"/>
  <c r="F64" i="3"/>
  <c r="G64" i="3" s="1"/>
  <c r="F75" i="3"/>
  <c r="G75" i="3" s="1"/>
  <c r="F65" i="3"/>
  <c r="G65" i="3" s="1"/>
  <c r="F72" i="3"/>
  <c r="G72" i="3" s="1"/>
  <c r="F73" i="3"/>
  <c r="G73" i="3" s="1"/>
  <c r="F69" i="3"/>
  <c r="G69" i="3" s="1"/>
  <c r="F74" i="3"/>
  <c r="G74" i="3" s="1"/>
  <c r="F66" i="3"/>
  <c r="G66" i="3" s="1"/>
  <c r="F71" i="3"/>
  <c r="G71" i="3" s="1"/>
  <c r="F68" i="3"/>
  <c r="G68" i="3" s="1"/>
  <c r="M1431" i="4"/>
  <c r="N1434" i="4"/>
  <c r="N24" i="3"/>
  <c r="H24" i="3"/>
  <c r="L24" i="3"/>
  <c r="L1432" i="4"/>
  <c r="P24" i="3"/>
  <c r="D24" i="3"/>
  <c r="M24" i="3"/>
  <c r="F24" i="3"/>
  <c r="K24" i="3"/>
  <c r="J24" i="3"/>
  <c r="I24" i="3"/>
  <c r="G24" i="3"/>
  <c r="O24" i="3"/>
  <c r="C24" i="3"/>
  <c r="G76" i="3" l="1"/>
  <c r="D61" i="3" s="1"/>
  <c r="F76" i="3"/>
  <c r="D59" i="3" s="1"/>
  <c r="M1432" i="4"/>
  <c r="N1435" i="4"/>
  <c r="L1433" i="4"/>
  <c r="M1433" i="4" l="1"/>
  <c r="N1436" i="4"/>
  <c r="L1434" i="4"/>
  <c r="M1434" i="4" l="1"/>
  <c r="N1437" i="4"/>
  <c r="N1438" i="4" s="1"/>
  <c r="L1435" i="4"/>
  <c r="M1435" i="4" l="1"/>
  <c r="L1436" i="4"/>
  <c r="L1437" i="4"/>
  <c r="M1436" i="4" l="1"/>
  <c r="M1437" i="4"/>
  <c r="N1439" i="4"/>
  <c r="L1438" i="4"/>
  <c r="M1438" i="4" l="1"/>
  <c r="N1440" i="4"/>
  <c r="N1441" i="4" s="1"/>
  <c r="L1439" i="4"/>
  <c r="M1439" i="4" l="1"/>
  <c r="L1440" i="4"/>
  <c r="M1440" i="4" l="1"/>
  <c r="N1442" i="4"/>
  <c r="L1441" i="4"/>
  <c r="M1441" i="4" l="1"/>
  <c r="N1443" i="4"/>
  <c r="L1442" i="4"/>
  <c r="M1442" i="4" l="1"/>
  <c r="N1444" i="4"/>
  <c r="L1443" i="4"/>
  <c r="M1443" i="4" l="1"/>
  <c r="N1445" i="4"/>
  <c r="L1444" i="4"/>
  <c r="M1444" i="4" l="1"/>
  <c r="N1446" i="4"/>
  <c r="L1445" i="4"/>
  <c r="M1445" i="4" l="1"/>
  <c r="N1447" i="4"/>
  <c r="L1446" i="4"/>
  <c r="M1446" i="4" l="1"/>
  <c r="N1448" i="4"/>
  <c r="L1447" i="4"/>
  <c r="M1447" i="4" l="1"/>
  <c r="N1449" i="4"/>
  <c r="L1448" i="4"/>
  <c r="M1448" i="4" l="1"/>
  <c r="N1450" i="4"/>
  <c r="L1449" i="4"/>
  <c r="M1449" i="4" l="1"/>
  <c r="N1451" i="4"/>
  <c r="L1450" i="4"/>
  <c r="M1450" i="4" l="1"/>
  <c r="N1452" i="4"/>
  <c r="L1451" i="4"/>
  <c r="M1451" i="4" l="1"/>
  <c r="N1453" i="4"/>
  <c r="L1452" i="4"/>
  <c r="M1452" i="4" l="1"/>
  <c r="N1454" i="4"/>
  <c r="L1453" i="4"/>
  <c r="M1453" i="4" l="1"/>
  <c r="N1455" i="4"/>
  <c r="L1454" i="4"/>
  <c r="M1454" i="4" l="1"/>
  <c r="M1461" i="4" s="1"/>
  <c r="N1456" i="4"/>
  <c r="L1455" i="4"/>
  <c r="M1455" i="4" l="1"/>
  <c r="N1457" i="4"/>
  <c r="N1458" i="4" s="1"/>
  <c r="L1456" i="4"/>
  <c r="M1456" i="4" l="1"/>
  <c r="L1457" i="4"/>
  <c r="M1457" i="4" l="1"/>
  <c r="N1459" i="4"/>
  <c r="L1458" i="4"/>
  <c r="M1458" i="4" l="1"/>
  <c r="N1460" i="4"/>
  <c r="L1459" i="4"/>
  <c r="M1459" i="4" l="1"/>
  <c r="P1459" i="4" s="1"/>
  <c r="N1461" i="4"/>
  <c r="N1462" i="4" s="1"/>
  <c r="L1460" i="4"/>
  <c r="P1458" i="4" l="1"/>
  <c r="P1450" i="4"/>
  <c r="P1442" i="4"/>
  <c r="P1438" i="4"/>
  <c r="P1434" i="4"/>
  <c r="P1431" i="4"/>
  <c r="P1457" i="4"/>
  <c r="P1453" i="4"/>
  <c r="P1449" i="4"/>
  <c r="P1445" i="4"/>
  <c r="P1441" i="4"/>
  <c r="P1437" i="4"/>
  <c r="P1430" i="4"/>
  <c r="P1429" i="4"/>
  <c r="P1454" i="4"/>
  <c r="P1446" i="4"/>
  <c r="P1460" i="4"/>
  <c r="P1456" i="4"/>
  <c r="P1452" i="4"/>
  <c r="P1448" i="4"/>
  <c r="P1444" i="4"/>
  <c r="P1440" i="4"/>
  <c r="P1436" i="4"/>
  <c r="P1433" i="4"/>
  <c r="P1455" i="4"/>
  <c r="P1451" i="4"/>
  <c r="P1447" i="4"/>
  <c r="P1443" i="4"/>
  <c r="P1439" i="4"/>
  <c r="P1435" i="4"/>
  <c r="P1432" i="4"/>
  <c r="M146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tc={00670073-0083-4FD0-B5A3-000000E1008F}</author>
  </authors>
  <commentList>
    <comment ref="D54" authorId="0" shapeId="0" xr:uid="{00670073-0083-4FD0-B5A3-000000E1008F}">
      <text>
        <t xml:space="preserve"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Стараться каждый день отклыдвать сумму равную текущему дню в календаре ( 1 день - 1 руб. 15 день - 15 руб). С возможным открытием 2 таких счетов, с промежутком в полгода. Для чего? Для крупных покупок, для отдыха, для возможности позволять себе большего, для инвестиций, для непредвиденных трат, на лечение. Так же для усложнения увеличивать  сумму n*2 (где n - день по календарю) 1 день - 2 руб, 15 день - 30 рублей, и т.д.
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Запрос — Table 1" description="Соединение с запросом &quot;Table 1&quot; в книге." type="5" refreshedVersion="6" background="1" refreshOnLoad="1" saveData="1">
    <dbPr connection="Provider=Microsoft.Mashup.OleDb.1;Data Source=$Workbook$;Location=Table 1;Extended Properties=&quot;&quot;" command="SELECT * FROM [Table 1]"/>
  </connection>
  <connection id="2" xr16:uid="{00000000-0015-0000-FFFF-FFFF01000000}" keepAlive="1" name="Запрос — Table 1 (3)" description="Соединение с запросом &quot;Table 1 (3)&quot; в книге." type="5" refreshedVersion="6" background="1" refreshOnLoad="1" saveData="1">
    <dbPr connection="Provider=Microsoft.Mashup.OleDb.1;Data Source=$Workbook$;Location=Table 1 (3);Extended Properties=&quot;&quot;" command="SELECT * FROM [Table 1 (3)]"/>
  </connection>
</connections>
</file>

<file path=xl/sharedStrings.xml><?xml version="1.0" encoding="utf-8"?>
<sst xmlns="http://schemas.openxmlformats.org/spreadsheetml/2006/main" count="3559" uniqueCount="372">
  <si>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</si>
  <si>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</si>
  <si>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</si>
  <si>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</si>
  <si>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</si>
  <si>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</si>
  <si>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</si>
  <si>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</si>
  <si>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</si>
  <si>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</si>
  <si>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</si>
  <si>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</si>
  <si>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Статья</t>
  </si>
  <si>
    <t>Факт</t>
  </si>
  <si>
    <t>План</t>
  </si>
  <si>
    <t>ИТОГО ЗА ГОД ФАКТ</t>
  </si>
  <si>
    <t>ИТОГО ЗА ГОД ПЛАН</t>
  </si>
  <si>
    <t>Доля</t>
  </si>
  <si>
    <t>Расходы</t>
  </si>
  <si>
    <t>Продукты</t>
  </si>
  <si>
    <t>Еда вне дома</t>
  </si>
  <si>
    <t>Дом</t>
  </si>
  <si>
    <t>Покупки</t>
  </si>
  <si>
    <t>Здоровье, красота, гигиена</t>
  </si>
  <si>
    <t>Образование</t>
  </si>
  <si>
    <t xml:space="preserve">Транспорт </t>
  </si>
  <si>
    <t>Подарки</t>
  </si>
  <si>
    <t>Благотворительность</t>
  </si>
  <si>
    <t>-</t>
  </si>
  <si>
    <t>Связь</t>
  </si>
  <si>
    <t>Отдых</t>
  </si>
  <si>
    <t>Отпуск</t>
  </si>
  <si>
    <t>Итого, ₽:</t>
  </si>
  <si>
    <t>Доходы</t>
  </si>
  <si>
    <t>Зарплата</t>
  </si>
  <si>
    <t>Дизайн</t>
  </si>
  <si>
    <t>Картины</t>
  </si>
  <si>
    <t>Типография</t>
  </si>
  <si>
    <t>Прочее</t>
  </si>
  <si>
    <t>На цели</t>
  </si>
  <si>
    <t>Пополнение Инвест.Портфеля</t>
  </si>
  <si>
    <t>Пополнение Цифрового.Портфеля</t>
  </si>
  <si>
    <t>Финансовая  подушка</t>
  </si>
  <si>
    <t>365 дней (цель)</t>
  </si>
  <si>
    <t>Здоровье</t>
  </si>
  <si>
    <t>Заначка</t>
  </si>
  <si>
    <t>Недвижимость</t>
  </si>
  <si>
    <t>Сбережения ИТОГО)</t>
  </si>
  <si>
    <t>%</t>
  </si>
  <si>
    <t>Денежный поток</t>
  </si>
  <si>
    <t>личная инфляция</t>
  </si>
  <si>
    <t xml:space="preserve"> </t>
  </si>
  <si>
    <t>Последние расходы</t>
  </si>
  <si>
    <t>Средний расход за текущий месяц</t>
  </si>
  <si>
    <t>Лимит</t>
  </si>
  <si>
    <t>Повседневные расходы</t>
  </si>
  <si>
    <t>Месяц</t>
  </si>
  <si>
    <t>Категории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</si>
  <si>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</si>
  <si>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</si>
  <si>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</si>
  <si>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</si>
  <si>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</si>
  <si>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</si>
  <si>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</si>
  <si>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</si>
  <si>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</si>
  <si>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</si>
  <si>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</si>
  <si>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</si>
  <si>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Общий итог</t>
  </si>
  <si>
    <t>Транспорт</t>
  </si>
  <si>
    <t>Цели</t>
  </si>
  <si>
    <t>Ср.расход накопит итогом</t>
  </si>
  <si>
    <t>Повседневные</t>
  </si>
  <si>
    <t>Квартира</t>
  </si>
  <si>
    <t>Итого в месяц</t>
  </si>
  <si>
    <t>Дней прошло</t>
  </si>
  <si>
    <t>Средний расход за день</t>
  </si>
  <si>
    <t>Средний расход в месяц</t>
  </si>
  <si>
    <t>Итого повседневные</t>
  </si>
  <si>
    <t xml:space="preserve">Итого квартира </t>
  </si>
  <si>
    <t>Итого цели</t>
  </si>
  <si>
    <t>Всего</t>
  </si>
  <si>
    <t>Итого</t>
  </si>
  <si>
    <t>Год 1</t>
  </si>
  <si>
    <t>Неделя</t>
  </si>
  <si>
    <t>Дата</t>
  </si>
  <si>
    <t>Подкатегории</t>
  </si>
  <si>
    <t xml:space="preserve">Сумма </t>
  </si>
  <si>
    <t>Комментарий</t>
  </si>
  <si>
    <t>Такси</t>
  </si>
  <si>
    <t>Алкоголь</t>
  </si>
  <si>
    <t>ещё 500 р Слава Майеру</t>
  </si>
  <si>
    <t>Автобус</t>
  </si>
  <si>
    <t>Перекус</t>
  </si>
  <si>
    <t>Еда</t>
  </si>
  <si>
    <t>Фаст-Фуд</t>
  </si>
  <si>
    <t>Активный</t>
  </si>
  <si>
    <t>Обед (работа)</t>
  </si>
  <si>
    <t>Кальянная</t>
  </si>
  <si>
    <t>Наушники</t>
  </si>
  <si>
    <t>Сладости</t>
  </si>
  <si>
    <t>Уход за собой</t>
  </si>
  <si>
    <t>Одежда</t>
  </si>
  <si>
    <t>Интернет</t>
  </si>
  <si>
    <t>кэш взят с цели на год</t>
  </si>
  <si>
    <t>Мобил.инет</t>
  </si>
  <si>
    <t>Метро</t>
  </si>
  <si>
    <t>корм</t>
  </si>
  <si>
    <t>тинькофф</t>
  </si>
  <si>
    <t>Аптека</t>
  </si>
  <si>
    <t>Год обслуживание</t>
  </si>
  <si>
    <t>300 инвест парт</t>
  </si>
  <si>
    <t>Комп.игры</t>
  </si>
  <si>
    <t>Межгород</t>
  </si>
  <si>
    <t>еда</t>
  </si>
  <si>
    <t>Работа</t>
  </si>
  <si>
    <t>Кофейня</t>
  </si>
  <si>
    <t>Книги</t>
  </si>
  <si>
    <t>Друзья</t>
  </si>
  <si>
    <t>Серебро</t>
  </si>
  <si>
    <t>цели</t>
  </si>
  <si>
    <t>+</t>
  </si>
  <si>
    <t>Обучение</t>
  </si>
  <si>
    <t>Шаверма</t>
  </si>
  <si>
    <t>На картины</t>
  </si>
  <si>
    <t>Психолог</t>
  </si>
  <si>
    <t>с visa</t>
  </si>
  <si>
    <t>Проф.услуги</t>
  </si>
  <si>
    <t>visa</t>
  </si>
  <si>
    <t>Бар</t>
  </si>
  <si>
    <t>Кредитка</t>
  </si>
  <si>
    <t>Долг</t>
  </si>
  <si>
    <t>ЕДа</t>
  </si>
  <si>
    <t>Музеи</t>
  </si>
  <si>
    <t>Ресторан</t>
  </si>
  <si>
    <t>Спорт зал</t>
  </si>
  <si>
    <t>Брюки</t>
  </si>
  <si>
    <t>активация карты</t>
  </si>
  <si>
    <t>ателье</t>
  </si>
  <si>
    <t>Подписки</t>
  </si>
  <si>
    <t>SberПрайм</t>
  </si>
  <si>
    <t>Аромаштучка</t>
  </si>
  <si>
    <t>Стрижка</t>
  </si>
  <si>
    <t>На кроссовки</t>
  </si>
  <si>
    <t>Бассейн</t>
  </si>
  <si>
    <t>Груша/кола</t>
  </si>
  <si>
    <t>проект Лапки</t>
  </si>
  <si>
    <t>Порошок/Кондиционер</t>
  </si>
  <si>
    <t>кофе/булка</t>
  </si>
  <si>
    <t>Кола</t>
  </si>
  <si>
    <t>Чай</t>
  </si>
  <si>
    <t>ре-н Кацо</t>
  </si>
  <si>
    <t>кофе/печенье</t>
  </si>
  <si>
    <t>кроссовки</t>
  </si>
  <si>
    <t>Сладкое</t>
  </si>
  <si>
    <t>Круассан</t>
  </si>
  <si>
    <t>вернул себе 1000р+1000 сверху</t>
  </si>
  <si>
    <t>бесп.наушники Султан</t>
  </si>
  <si>
    <t>строй мешок</t>
  </si>
  <si>
    <t>Ежедневные расходы</t>
  </si>
  <si>
    <t>К.Д</t>
  </si>
  <si>
    <t>Потратил</t>
  </si>
  <si>
    <t>Траты в день</t>
  </si>
  <si>
    <t>Кол-во часов</t>
  </si>
  <si>
    <t>В день</t>
  </si>
  <si>
    <t>Долг Яна</t>
  </si>
  <si>
    <t>Семья</t>
  </si>
  <si>
    <t>Рассрочка на подарок</t>
  </si>
  <si>
    <t>пачка арахиса</t>
  </si>
  <si>
    <t>Цели на ближайшие пару дней</t>
  </si>
  <si>
    <t>1. Вести бюджет</t>
  </si>
  <si>
    <t>2. Соблюдать бюджет на день</t>
  </si>
  <si>
    <t>1. Купить курс по Grass+Rhino</t>
  </si>
  <si>
    <t>Цели на январь 2023</t>
  </si>
  <si>
    <t>1.Купить часы garmin fr 55</t>
  </si>
  <si>
    <t>2.Найти подработку для увеличения ДП</t>
  </si>
  <si>
    <t>Валюта</t>
  </si>
  <si>
    <t>Курс</t>
  </si>
  <si>
    <t>USD</t>
  </si>
  <si>
    <t>EUR</t>
  </si>
  <si>
    <t>Дней осталось</t>
  </si>
  <si>
    <t>Зарплата_1</t>
  </si>
  <si>
    <t>Зарплата_2</t>
  </si>
  <si>
    <t>Зарплата_3</t>
  </si>
  <si>
    <t>Др поступления</t>
  </si>
  <si>
    <t>Др расходы</t>
  </si>
  <si>
    <t>Доход от</t>
  </si>
  <si>
    <t>Сумма</t>
  </si>
  <si>
    <t>Фриланс</t>
  </si>
  <si>
    <t>Прочие поступления</t>
  </si>
  <si>
    <t>Отпускные</t>
  </si>
  <si>
    <t>Категория</t>
  </si>
  <si>
    <t xml:space="preserve">Описание </t>
  </si>
  <si>
    <t>Аренда</t>
  </si>
  <si>
    <t>Хоз товары</t>
  </si>
  <si>
    <t>Бытовые</t>
  </si>
  <si>
    <t>Чайник</t>
  </si>
  <si>
    <t>Аэратор</t>
  </si>
  <si>
    <t>Аромадиффузор</t>
  </si>
  <si>
    <t>Вешалки</t>
  </si>
  <si>
    <t>Покупка</t>
  </si>
  <si>
    <t>Цель</t>
  </si>
  <si>
    <t>ICN($100)</t>
  </si>
  <si>
    <t>Оборотка(1-3 мес)</t>
  </si>
  <si>
    <t>Итог</t>
  </si>
  <si>
    <t>Остаток</t>
  </si>
  <si>
    <t>Накопления</t>
  </si>
  <si>
    <t>РУБ</t>
  </si>
  <si>
    <t>Наличка</t>
  </si>
  <si>
    <t>Карта МИР</t>
  </si>
  <si>
    <t>Карт VISA</t>
  </si>
  <si>
    <t>Райфайзен</t>
  </si>
  <si>
    <t>Тинькофф</t>
  </si>
  <si>
    <t>Книги, обучение</t>
  </si>
  <si>
    <t>Финансовая подушка</t>
  </si>
  <si>
    <t>На валюту</t>
  </si>
  <si>
    <t>Инвест портфель</t>
  </si>
  <si>
    <t>Цифровой портфель</t>
  </si>
  <si>
    <t>Сбербанк</t>
  </si>
  <si>
    <t>Долгосрочные</t>
  </si>
  <si>
    <t>УК ФБ Август</t>
  </si>
  <si>
    <t>Цифровые, $</t>
  </si>
  <si>
    <t>Российские, ₽</t>
  </si>
  <si>
    <t>Зарубежные, $</t>
  </si>
  <si>
    <t>ICN Holding, $</t>
  </si>
  <si>
    <t>Золото</t>
  </si>
  <si>
    <t>Пассив/Долг</t>
  </si>
  <si>
    <t>Получено</t>
  </si>
  <si>
    <t xml:space="preserve">Яника </t>
  </si>
  <si>
    <t>Блендер</t>
  </si>
  <si>
    <t>Актив</t>
  </si>
  <si>
    <t>Список целей</t>
  </si>
  <si>
    <t xml:space="preserve">Срок </t>
  </si>
  <si>
    <t>Описание</t>
  </si>
  <si>
    <t>Осталось</t>
  </si>
  <si>
    <t>Цели на ближайшие 90 дней</t>
  </si>
  <si>
    <t>Финансовые</t>
  </si>
  <si>
    <t>Войти в проект недвижимости</t>
  </si>
  <si>
    <t>Создание</t>
  </si>
  <si>
    <t>Личные</t>
  </si>
  <si>
    <t>Снять однокомнотную квартиру</t>
  </si>
  <si>
    <t>Тест-драйв</t>
  </si>
  <si>
    <t xml:space="preserve">Взять на тест-драйв ряд премиальных автомобилей: bmw porshe audi mersedes </t>
  </si>
  <si>
    <t>Запись в бассейн</t>
  </si>
  <si>
    <t xml:space="preserve">Посещение бассейна </t>
  </si>
  <si>
    <t>Скаладром</t>
  </si>
  <si>
    <t xml:space="preserve">Посещение скаладрома </t>
  </si>
  <si>
    <t xml:space="preserve">Купить часы GARMIN </t>
  </si>
  <si>
    <t>Garmin Forrunner 55</t>
  </si>
  <si>
    <t>Купить кроссовки</t>
  </si>
  <si>
    <t>Права категории А</t>
  </si>
  <si>
    <t>Цели на год</t>
  </si>
  <si>
    <t>Поездка в другой город России</t>
  </si>
  <si>
    <t>Сочи, Санкт-Петербург, Москва, Тюмень - один из этих городов от 2 до 7 дней</t>
  </si>
  <si>
    <t>Нижний Тагил, Санкт-Петербург</t>
  </si>
  <si>
    <t xml:space="preserve">Отдых заграницей </t>
  </si>
  <si>
    <t>Тату</t>
  </si>
  <si>
    <t>Обучение английскому</t>
  </si>
  <si>
    <t xml:space="preserve">Прыжок с парашюта </t>
  </si>
  <si>
    <t xml:space="preserve">Продумать печать на 3D принтере глиной </t>
  </si>
  <si>
    <t>Обдумать  создание 3D принтера для печатии глиной, с дальнейшей реализацией этой продукции и её продвижение. Увеличение ассортимента, переход и разработка других технологий по 3D печати (переработанный пластик, изделия для промышленности)</t>
  </si>
  <si>
    <t>Долгосрочные цели</t>
  </si>
  <si>
    <t>Срок</t>
  </si>
  <si>
    <t>Пассивный доход в месяц</t>
  </si>
  <si>
    <t>Пассивный доход от 80 000 руб./мес.</t>
  </si>
  <si>
    <t xml:space="preserve">Участие в Pre-IPO </t>
  </si>
  <si>
    <t xml:space="preserve">Капитал для входа в пул Pre-IPO </t>
  </si>
  <si>
    <t>Участие в IPO</t>
  </si>
  <si>
    <t xml:space="preserve">Капитал для входа IPO </t>
  </si>
  <si>
    <t xml:space="preserve">Недвижимость </t>
  </si>
  <si>
    <t>Личностные</t>
  </si>
  <si>
    <t>365 дней</t>
  </si>
  <si>
    <t>На каждый год</t>
  </si>
  <si>
    <t>В течении года, каждый день, откладывать сумму равную дню в календаре</t>
  </si>
  <si>
    <t>Частная школа</t>
  </si>
  <si>
    <t>Частная школа для обучения своих детей</t>
  </si>
  <si>
    <t>Каких знаний не хватает</t>
  </si>
  <si>
    <t>Профессиональных</t>
  </si>
  <si>
    <t xml:space="preserve">Личностных </t>
  </si>
  <si>
    <t>Социальных</t>
  </si>
  <si>
    <t>Обучение Grasshoppers</t>
  </si>
  <si>
    <t>Отстаивание личных границ</t>
  </si>
  <si>
    <t>Обучение AutoCad</t>
  </si>
  <si>
    <t>Межличностное общение</t>
  </si>
  <si>
    <t>Знакомства с новыми людьми</t>
  </si>
  <si>
    <t>Обучение Revit</t>
  </si>
  <si>
    <t>английский</t>
  </si>
  <si>
    <t xml:space="preserve">Рассказать о себе </t>
  </si>
  <si>
    <t>Повышенный уровень ведения чертежей</t>
  </si>
  <si>
    <t>Коммуникаций</t>
  </si>
  <si>
    <t>Донести информацию легким, понятным доступным языком. Какой сложной она бы не была</t>
  </si>
  <si>
    <t>Конструктивная реакция на критику. Без эмоций</t>
  </si>
  <si>
    <t>Повышенного уровня ответственности</t>
  </si>
  <si>
    <t>Брать риски</t>
  </si>
  <si>
    <t>№ дня</t>
  </si>
  <si>
    <t>Сумма дня</t>
  </si>
  <si>
    <t>Итог за год</t>
  </si>
  <si>
    <t>Год</t>
  </si>
  <si>
    <t>Вып</t>
  </si>
  <si>
    <t>100% выполнено</t>
  </si>
  <si>
    <t>Хоть что то выполнено</t>
  </si>
  <si>
    <t>Не выполнено совсем</t>
  </si>
  <si>
    <t>Трамвай</t>
  </si>
  <si>
    <t>Родственники</t>
  </si>
  <si>
    <t>Творчество</t>
  </si>
  <si>
    <t>Кино</t>
  </si>
  <si>
    <t>Дата начала периода</t>
  </si>
  <si>
    <t>Номер</t>
  </si>
  <si>
    <t>Театр</t>
  </si>
  <si>
    <t>Дата окончания периода</t>
  </si>
  <si>
    <t>Услуги</t>
  </si>
  <si>
    <t>Доходы от:</t>
  </si>
  <si>
    <t>Мебель</t>
  </si>
  <si>
    <t>Цифровые $</t>
  </si>
  <si>
    <t>Инвест-ый(личный) $</t>
  </si>
  <si>
    <t>Фин.подушка (от 6 мес.)</t>
  </si>
  <si>
    <t>книга Вике</t>
  </si>
  <si>
    <t>своя компания</t>
  </si>
  <si>
    <t>От</t>
  </si>
  <si>
    <t>???</t>
  </si>
  <si>
    <t>DYU</t>
  </si>
  <si>
    <t>Светящая надпись мотивационная из гибкой ленты.</t>
  </si>
  <si>
    <t>Магнитная вешалка</t>
  </si>
  <si>
    <t>Светильник в стиле минимализм</t>
  </si>
  <si>
    <t>Откладывать 10-15% каждый мес.</t>
  </si>
  <si>
    <t>Сочи, Москва, Тюмень</t>
  </si>
  <si>
    <t>Отношения</t>
  </si>
  <si>
    <t xml:space="preserve">Выстроить долгосрочные и крепкие отношения с девушкой которая нравится </t>
  </si>
  <si>
    <t>Nike Pegasus</t>
  </si>
  <si>
    <t>Сделать генеалогическое древо</t>
  </si>
  <si>
    <t>Купить куртку и две пары обуви</t>
  </si>
  <si>
    <t>Составить список из 10 книг и прочитать</t>
  </si>
  <si>
    <t xml:space="preserve">Пробить финансовый потолок </t>
  </si>
  <si>
    <t>Переехать в 1-ую квартиру в новостройке  с мебелью. Этаж с 10-15</t>
  </si>
  <si>
    <t>Египет Пхукэт, по горящей путевке. Ориентировочно на осень</t>
  </si>
  <si>
    <t>подарок без повода 3-5 друзьям на любую сумму</t>
  </si>
  <si>
    <t xml:space="preserve">Подарки для племянников </t>
  </si>
  <si>
    <t xml:space="preserve">Создать родословную на несколько ветвей </t>
  </si>
  <si>
    <t>Освоить Rhino+Grasshopper, Fusion 360</t>
  </si>
  <si>
    <t>Напитки</t>
  </si>
  <si>
    <t>Доходы от</t>
  </si>
  <si>
    <t>Табак для кальяна</t>
  </si>
  <si>
    <t>Конфеты</t>
  </si>
  <si>
    <t>Шпажки</t>
  </si>
  <si>
    <t>НГ шапки</t>
  </si>
  <si>
    <t>Бенгал огни</t>
  </si>
  <si>
    <t>сладости племяннику</t>
  </si>
  <si>
    <t>Доставка костюма</t>
  </si>
  <si>
    <t>Пицца на Новый Год</t>
  </si>
  <si>
    <t>Цель на январь</t>
  </si>
  <si>
    <t>2022</t>
  </si>
  <si>
    <t>2023</t>
  </si>
  <si>
    <t>Роллы</t>
  </si>
  <si>
    <t>Купить фотоаппарат</t>
  </si>
  <si>
    <t>Скалодром</t>
  </si>
  <si>
    <t>Гель</t>
  </si>
  <si>
    <t>Вода</t>
  </si>
  <si>
    <t>2022 Итог</t>
  </si>
  <si>
    <t>2023 Итог</t>
  </si>
  <si>
    <t>Ср.расход в месяц</t>
  </si>
  <si>
    <t>Коэффициент трат в месяц</t>
  </si>
  <si>
    <t xml:space="preserve">я имею доход +80 000 рублей </t>
  </si>
  <si>
    <t>у меня есть 100 000 р для входа в проект недвижимости от РВ</t>
  </si>
  <si>
    <t>я откладывать 10-15% от дохода для формирования пассивного дохода</t>
  </si>
  <si>
    <t>тетрадь</t>
  </si>
  <si>
    <t>Раствор для линз</t>
  </si>
  <si>
    <t>магниты</t>
  </si>
  <si>
    <t>Крупные</t>
  </si>
  <si>
    <t>Обучение бетону</t>
  </si>
  <si>
    <t>Покупки крупные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</si>
</sst>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#,##0\ &quot;₽&quot;"/>
    <numFmt numFmtId="165" formatCode="[$-419]mmmm;@"/>
    <numFmt numFmtId="166" formatCode="#,##0.00\ &quot;₽&quot;"/>
    <numFmt numFmtId="167" formatCode="_-* #,##0\ &quot;₽&quot;_-;\-* #,##0\ &quot;₽&quot;_-;_-* &quot;-&quot;??\ &quot;₽&quot;_-;_-@_-"/>
    <numFmt numFmtId="168" formatCode="_-* #,##0_-;\-* #,##0_-;_-* &quot;-&quot;??_-;_-@_-"/>
    <numFmt numFmtId="169" formatCode="[$-419]d\ mmm;@"/>
    <numFmt numFmtId="170" formatCode="[$-F800]dddd\,\ mmmm\ dd\,\ yyyy"/>
    <numFmt numFmtId="171" formatCode="ddd"/>
    <numFmt numFmtId="172" formatCode="[$$-409]#,##0"/>
    <numFmt numFmtId="173" formatCode="0.000"/>
    <numFmt numFmtId="174" formatCode="#,##0\ [$₽-419]"/>
  </numFmts>
  <fonts count="5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Arial Nova"/>
    </font>
    <font>
      <b/>
      <sz val="13"/>
      <color theme="1"/>
      <name val="Arial Nova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2"/>
      <color theme="1"/>
      <name val="Arial Nova Light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trike/>
      <sz val="11"/>
      <name val="Calibri"/>
      <family val="2"/>
      <charset val="204"/>
      <scheme val="minor"/>
    </font>
    <font>
      <b/>
      <strike/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indexed="64"/>
      <name val="Arial"/>
      <family val="2"/>
      <charset val="204"/>
    </font>
    <font>
      <sz val="23"/>
      <color rgb="FF202124"/>
      <name val="Arial"/>
      <family val="2"/>
      <charset val="204"/>
    </font>
    <font>
      <b/>
      <i/>
      <sz val="13"/>
      <color indexed="65"/>
      <name val="Arial Nova"/>
    </font>
    <font>
      <sz val="13"/>
      <color indexed="64"/>
      <name val="Arial Nova"/>
    </font>
    <font>
      <sz val="13"/>
      <name val="Arial Nova"/>
    </font>
    <font>
      <sz val="11"/>
      <color theme="1"/>
      <name val="Arial Nova"/>
    </font>
    <font>
      <i/>
      <sz val="11"/>
      <color theme="1"/>
      <name val="Arial Nova"/>
    </font>
    <font>
      <b/>
      <sz val="11"/>
      <color theme="1"/>
      <name val="Arial Nova"/>
    </font>
    <font>
      <b/>
      <sz val="12"/>
      <color theme="1"/>
      <name val="Neue Haas Grotesk Text Pro"/>
    </font>
    <font>
      <sz val="11"/>
      <name val="Arial Nova"/>
    </font>
    <font>
      <b/>
      <sz val="14"/>
      <color theme="1"/>
      <name val="Arial Nova"/>
    </font>
    <font>
      <b/>
      <sz val="12"/>
      <color theme="1" tint="4.9989318521683403E-2"/>
      <name val="Arial Nova"/>
    </font>
    <font>
      <b/>
      <sz val="10"/>
      <color theme="1" tint="4.9989318521683403E-2"/>
      <name val="Arial Nova"/>
    </font>
    <font>
      <b/>
      <sz val="10"/>
      <color theme="1"/>
      <name val="Arial Nova"/>
    </font>
    <font>
      <sz val="11"/>
      <color theme="1"/>
      <name val="Arial"/>
      <family val="2"/>
      <charset val="204"/>
    </font>
    <font>
      <sz val="11"/>
      <color theme="1" tint="4.9989318521683403E-2"/>
      <name val="Arial Nova"/>
    </font>
    <font>
      <sz val="11"/>
      <name val="Arial"/>
      <family val="2"/>
      <charset val="204"/>
    </font>
    <font>
      <b/>
      <sz val="12"/>
      <color theme="1"/>
      <name val="Arial Nova"/>
    </font>
    <font>
      <strike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color theme="1"/>
      <name val="Arial Nova"/>
    </font>
    <font>
      <sz val="12"/>
      <color indexed="65"/>
      <name val="Arial Nova"/>
    </font>
    <font>
      <b/>
      <sz val="12"/>
      <color indexed="64"/>
      <name val="Arial Nova"/>
    </font>
    <font>
      <b/>
      <sz val="12"/>
      <color indexed="6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indexed="64"/>
      <name val="Calibri"/>
      <family val="2"/>
      <charset val="204"/>
      <scheme val="minor"/>
    </font>
    <font>
      <sz val="12"/>
      <name val="Arial Nova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trike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/>
        <bgColor theme="0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2" tint="-9.9978637043366805E-2"/>
        <bgColor theme="2" tint="-9.9978637043366805E-2"/>
      </patternFill>
    </fill>
    <fill>
      <patternFill patternType="solid">
        <fgColor indexed="5"/>
        <bgColor indexed="5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2" tint="-0.499984740745262"/>
        <bgColor theme="2" tint="-0.499984740745262"/>
      </patternFill>
    </fill>
    <fill>
      <patternFill patternType="solid">
        <fgColor theme="3" tint="0.39997558519241921"/>
        <bgColor theme="3" tint="0.39997558519241921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6" tint="-0.249977111117893"/>
        <bgColor theme="6" tint="-0.249977111117893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rgb="FF4B7779"/>
        <bgColor rgb="FF4B7779"/>
      </patternFill>
    </fill>
    <fill>
      <patternFill patternType="solid">
        <fgColor theme="9" tint="-0.249977111117893"/>
        <bgColor theme="9" tint="-0.249977111117893"/>
      </patternFill>
    </fill>
    <fill>
      <patternFill patternType="solid">
        <fgColor rgb="FFE25454"/>
        <bgColor rgb="FFE2545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theme="5" tint="0.59999389629810485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CCCCCC"/>
      </left>
      <right/>
      <top/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</borders>
  <cellStyleXfs count="3">
    <xf numFmtId="0" fontId="0" fillId="0" borderId="0"/>
    <xf numFmtId="9" fontId="49" fillId="0" borderId="0" applyFont="0" applyFill="0" applyBorder="0" applyProtection="0"/>
    <xf numFmtId="43" fontId="49" fillId="0" borderId="0" applyFont="0" applyFill="0" applyBorder="0" applyProtection="0"/>
  </cellStyleXfs>
  <cellXfs count="619">
    <xf numFmtId="0" fontId="0" fillId="0" borderId="0" xfId="0"/>
    <xf numFmtId="0" fontId="5" fillId="0" borderId="0" xfId="0" applyFont="1"/>
    <xf numFmtId="167" fontId="5" fillId="0" borderId="0" xfId="0" applyNumberFormat="1" applyFont="1"/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7" fontId="6" fillId="2" borderId="1" xfId="0" applyNumberFormat="1" applyFont="1" applyFill="1" applyBorder="1" applyAlignment="1">
      <alignment vertical="center"/>
    </xf>
    <xf numFmtId="167" fontId="6" fillId="0" borderId="2" xfId="0" applyNumberFormat="1" applyFont="1" applyBorder="1" applyAlignment="1">
      <alignment vertical="center"/>
    </xf>
    <xf numFmtId="167" fontId="6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Continuous" vertical="center"/>
    </xf>
    <xf numFmtId="167" fontId="8" fillId="3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67" fontId="8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167" fontId="10" fillId="0" borderId="1" xfId="0" applyNumberFormat="1" applyFont="1" applyBorder="1" applyAlignment="1">
      <alignment horizontal="center" vertical="center"/>
    </xf>
    <xf numFmtId="167" fontId="11" fillId="3" borderId="1" xfId="0" applyNumberFormat="1" applyFont="1" applyFill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center" vertical="center"/>
    </xf>
    <xf numFmtId="164" fontId="11" fillId="6" borderId="1" xfId="0" applyNumberFormat="1" applyFont="1" applyFill="1" applyBorder="1" applyAlignment="1">
      <alignment horizontal="center" vertical="center"/>
    </xf>
    <xf numFmtId="9" fontId="6" fillId="4" borderId="1" xfId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Continuous"/>
    </xf>
    <xf numFmtId="167" fontId="8" fillId="7" borderId="1" xfId="0" applyNumberFormat="1" applyFont="1" applyFill="1" applyBorder="1" applyAlignment="1">
      <alignment horizontal="center" vertical="center"/>
    </xf>
    <xf numFmtId="167" fontId="8" fillId="7" borderId="1" xfId="0" applyNumberFormat="1" applyFont="1" applyFill="1" applyBorder="1" applyAlignment="1">
      <alignment horizontal="center"/>
    </xf>
    <xf numFmtId="164" fontId="12" fillId="7" borderId="1" xfId="0" applyNumberFormat="1" applyFont="1" applyFill="1" applyBorder="1" applyAlignment="1">
      <alignment horizontal="center" vertical="center"/>
    </xf>
    <xf numFmtId="164" fontId="8" fillId="7" borderId="1" xfId="0" applyNumberFormat="1" applyFont="1" applyFill="1" applyBorder="1" applyAlignment="1">
      <alignment horizontal="center" vertical="center"/>
    </xf>
    <xf numFmtId="9" fontId="5" fillId="0" borderId="0" xfId="1" applyFont="1"/>
    <xf numFmtId="9" fontId="5" fillId="0" borderId="0" xfId="1" applyFont="1" applyAlignment="1">
      <alignment horizontal="center" vertical="center"/>
    </xf>
    <xf numFmtId="9" fontId="7" fillId="7" borderId="1" xfId="1" applyFont="1" applyFill="1" applyBorder="1" applyAlignment="1">
      <alignment horizontal="centerContinuous" vertical="center"/>
    </xf>
    <xf numFmtId="9" fontId="8" fillId="7" borderId="1" xfId="1" applyFont="1" applyFill="1" applyBorder="1" applyAlignment="1">
      <alignment horizontal="center" vertical="center"/>
    </xf>
    <xf numFmtId="164" fontId="8" fillId="7" borderId="1" xfId="1" applyNumberFormat="1" applyFont="1" applyFill="1" applyBorder="1" applyAlignment="1">
      <alignment horizontal="center" vertical="center"/>
    </xf>
    <xf numFmtId="0" fontId="10" fillId="0" borderId="1" xfId="0" applyFont="1" applyBorder="1"/>
    <xf numFmtId="167" fontId="11" fillId="2" borderId="1" xfId="0" applyNumberFormat="1" applyFont="1" applyFill="1" applyBorder="1" applyAlignment="1">
      <alignment horizontal="center" vertical="center"/>
    </xf>
    <xf numFmtId="167" fontId="11" fillId="2" borderId="1" xfId="0" applyNumberFormat="1" applyFont="1" applyFill="1" applyBorder="1" applyAlignment="1">
      <alignment horizontal="center"/>
    </xf>
    <xf numFmtId="0" fontId="13" fillId="0" borderId="1" xfId="0" applyFont="1" applyBorder="1"/>
    <xf numFmtId="167" fontId="14" fillId="2" borderId="1" xfId="0" applyNumberFormat="1" applyFont="1" applyFill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167" fontId="14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Continuous"/>
    </xf>
    <xf numFmtId="167" fontId="8" fillId="2" borderId="1" xfId="0" applyNumberFormat="1" applyFont="1" applyFill="1" applyBorder="1" applyAlignment="1">
      <alignment horizontal="center" vertical="center"/>
    </xf>
    <xf numFmtId="167" fontId="15" fillId="2" borderId="1" xfId="0" applyNumberFormat="1" applyFont="1" applyFill="1" applyBorder="1" applyAlignment="1">
      <alignment horizontal="center" vertical="center"/>
    </xf>
    <xf numFmtId="167" fontId="8" fillId="2" borderId="1" xfId="0" applyNumberFormat="1" applyFont="1" applyFill="1" applyBorder="1" applyAlignment="1">
      <alignment horizontal="center"/>
    </xf>
    <xf numFmtId="164" fontId="1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67" fontId="8" fillId="0" borderId="1" xfId="0" applyNumberFormat="1" applyFont="1" applyBorder="1" applyAlignment="1">
      <alignment horizontal="center" vertical="center"/>
    </xf>
    <xf numFmtId="164" fontId="16" fillId="9" borderId="1" xfId="0" applyNumberFormat="1" applyFont="1" applyFill="1" applyBorder="1" applyAlignment="1">
      <alignment horizontal="center" vertical="center"/>
    </xf>
    <xf numFmtId="164" fontId="8" fillId="9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4" fontId="5" fillId="0" borderId="0" xfId="0" applyNumberFormat="1" applyFont="1"/>
    <xf numFmtId="44" fontId="5" fillId="0" borderId="0" xfId="0" applyNumberFormat="1" applyFont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44" fontId="12" fillId="9" borderId="1" xfId="0" applyNumberFormat="1" applyFont="1" applyFill="1" applyBorder="1" applyAlignment="1">
      <alignment horizontal="center" vertical="center"/>
    </xf>
    <xf numFmtId="44" fontId="5" fillId="4" borderId="1" xfId="0" applyNumberFormat="1" applyFont="1" applyFill="1" applyBorder="1" applyAlignment="1">
      <alignment horizontal="center" vertical="center"/>
    </xf>
    <xf numFmtId="44" fontId="5" fillId="0" borderId="0" xfId="0" applyNumberFormat="1" applyFont="1" applyAlignment="1">
      <alignment vertical="center"/>
    </xf>
    <xf numFmtId="0" fontId="11" fillId="0" borderId="1" xfId="0" applyFont="1" applyBorder="1" applyAlignment="1">
      <alignment horizontal="left" vertical="center"/>
    </xf>
    <xf numFmtId="167" fontId="8" fillId="10" borderId="1" xfId="0" applyNumberFormat="1" applyFont="1" applyFill="1" applyBorder="1" applyAlignment="1">
      <alignment horizontal="center" vertical="center"/>
    </xf>
    <xf numFmtId="44" fontId="16" fillId="9" borderId="1" xfId="0" applyNumberFormat="1" applyFont="1" applyFill="1" applyBorder="1" applyAlignment="1">
      <alignment horizontal="center" vertical="center"/>
    </xf>
    <xf numFmtId="9" fontId="5" fillId="0" borderId="0" xfId="1" applyFont="1" applyAlignment="1">
      <alignment vertical="center"/>
    </xf>
    <xf numFmtId="9" fontId="17" fillId="8" borderId="1" xfId="1" applyFont="1" applyFill="1" applyBorder="1" applyAlignment="1">
      <alignment horizontal="centerContinuous" vertical="center"/>
    </xf>
    <xf numFmtId="9" fontId="8" fillId="8" borderId="1" xfId="1" applyFont="1" applyFill="1" applyBorder="1" applyAlignment="1">
      <alignment horizontal="center" vertical="center"/>
    </xf>
    <xf numFmtId="9" fontId="16" fillId="9" borderId="1" xfId="1" applyFont="1" applyFill="1" applyBorder="1" applyAlignment="1">
      <alignment horizontal="center" vertical="center"/>
    </xf>
    <xf numFmtId="164" fontId="8" fillId="9" borderId="1" xfId="1" applyNumberFormat="1" applyFont="1" applyFill="1" applyBorder="1" applyAlignment="1">
      <alignment horizontal="center" vertical="center"/>
    </xf>
    <xf numFmtId="9" fontId="5" fillId="4" borderId="1" xfId="1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Continuous" vertical="center" wrapText="1"/>
    </xf>
    <xf numFmtId="167" fontId="8" fillId="12" borderId="1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167" fontId="19" fillId="0" borderId="0" xfId="0" applyNumberFormat="1" applyFont="1"/>
    <xf numFmtId="167" fontId="20" fillId="0" borderId="0" xfId="0" applyNumberFormat="1" applyFont="1"/>
    <xf numFmtId="167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167" fontId="6" fillId="0" borderId="0" xfId="0" applyNumberFormat="1" applyFont="1"/>
    <xf numFmtId="0" fontId="6" fillId="0" borderId="0" xfId="0" applyFont="1"/>
    <xf numFmtId="167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/>
    <xf numFmtId="167" fontId="23" fillId="0" borderId="0" xfId="0" applyNumberFormat="1" applyFont="1"/>
    <xf numFmtId="167" fontId="22" fillId="0" borderId="0" xfId="0" applyNumberFormat="1" applyFont="1" applyAlignment="1">
      <alignment horizontal="right"/>
    </xf>
    <xf numFmtId="0" fontId="0" fillId="0" borderId="0" xfId="0" applyAlignment="1">
      <alignment horizontal="center" vertical="center"/>
    </xf>
    <xf numFmtId="0" fontId="16" fillId="0" borderId="0" xfId="0" applyFont="1"/>
    <xf numFmtId="14" fontId="18" fillId="0" borderId="0" xfId="0" applyNumberFormat="1" applyFont="1" applyAlignment="1">
      <alignment horizontal="center" vertical="center"/>
    </xf>
    <xf numFmtId="0" fontId="18" fillId="0" borderId="0" xfId="0" applyFont="1"/>
    <xf numFmtId="0" fontId="16" fillId="13" borderId="0" xfId="0" applyFont="1" applyFill="1"/>
    <xf numFmtId="0" fontId="16" fillId="0" borderId="0" xfId="0" applyFont="1" applyAlignment="1">
      <alignment horizontal="center" vertical="center"/>
    </xf>
    <xf numFmtId="0" fontId="16" fillId="15" borderId="0" xfId="0" applyFont="1" applyFill="1" applyAlignment="1">
      <alignment horizontal="center" vertical="center"/>
    </xf>
    <xf numFmtId="0" fontId="18" fillId="4" borderId="0" xfId="0" applyFont="1" applyFill="1"/>
    <xf numFmtId="0" fontId="16" fillId="16" borderId="0" xfId="0" applyFont="1" applyFill="1" applyAlignment="1">
      <alignment horizontal="left" vertical="center"/>
    </xf>
    <xf numFmtId="164" fontId="18" fillId="4" borderId="0" xfId="0" applyNumberFormat="1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164" fontId="16" fillId="17" borderId="0" xfId="0" applyNumberFormat="1" applyFont="1" applyFill="1" applyAlignment="1">
      <alignment vertical="center"/>
    </xf>
    <xf numFmtId="0" fontId="16" fillId="5" borderId="0" xfId="0" applyFont="1" applyFill="1" applyAlignment="1">
      <alignment vertical="center"/>
    </xf>
    <xf numFmtId="0" fontId="16" fillId="4" borderId="0" xfId="0" applyFont="1" applyFill="1" applyAlignment="1">
      <alignment vertical="center"/>
    </xf>
    <xf numFmtId="0" fontId="18" fillId="0" borderId="0" xfId="0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64" fontId="0" fillId="0" borderId="0" xfId="0" applyNumberFormat="1"/>
    <xf numFmtId="164" fontId="18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8" fontId="16" fillId="0" borderId="1" xfId="2" applyNumberFormat="1" applyFont="1" applyBorder="1" applyAlignment="1">
      <alignment horizontal="center" vertical="center"/>
    </xf>
    <xf numFmtId="168" fontId="16" fillId="0" borderId="1" xfId="2" applyNumberFormat="1" applyFont="1" applyBorder="1" applyAlignment="1">
      <alignment vertical="center"/>
    </xf>
    <xf numFmtId="168" fontId="16" fillId="4" borderId="1" xfId="2" applyNumberFormat="1" applyFont="1" applyFill="1" applyBorder="1" applyAlignment="1">
      <alignment horizontal="center" vertical="center"/>
    </xf>
    <xf numFmtId="168" fontId="0" fillId="4" borderId="1" xfId="2" applyNumberFormat="1" applyFont="1" applyFill="1" applyBorder="1" applyAlignment="1">
      <alignment horizontal="left" vertical="center"/>
    </xf>
    <xf numFmtId="164" fontId="0" fillId="4" borderId="1" xfId="2" applyNumberFormat="1" applyFont="1" applyFill="1" applyBorder="1" applyAlignment="1">
      <alignment horizontal="center" vertical="center"/>
    </xf>
    <xf numFmtId="168" fontId="0" fillId="4" borderId="1" xfId="2" applyNumberFormat="1" applyFont="1" applyFill="1" applyBorder="1" applyAlignment="1">
      <alignment horizontal="center" vertical="center"/>
    </xf>
    <xf numFmtId="164" fontId="8" fillId="4" borderId="1" xfId="2" applyNumberFormat="1" applyFon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8" fontId="0" fillId="0" borderId="1" xfId="2" applyNumberFormat="1" applyFont="1" applyBorder="1" applyAlignment="1">
      <alignment horizontal="left" vertical="center"/>
    </xf>
    <xf numFmtId="164" fontId="0" fillId="0" borderId="1" xfId="2" applyNumberFormat="1" applyFont="1" applyBorder="1" applyAlignment="1">
      <alignment horizontal="center" vertical="center"/>
    </xf>
    <xf numFmtId="168" fontId="0" fillId="0" borderId="1" xfId="2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8" fontId="8" fillId="4" borderId="1" xfId="2" applyNumberFormat="1" applyFont="1" applyFill="1" applyBorder="1" applyAlignment="1">
      <alignment horizontal="left" vertical="center"/>
    </xf>
    <xf numFmtId="168" fontId="8" fillId="4" borderId="1" xfId="2" applyNumberFormat="1" applyFont="1" applyFill="1" applyBorder="1" applyAlignment="1">
      <alignment horizontal="center" vertical="center"/>
    </xf>
    <xf numFmtId="0" fontId="24" fillId="0" borderId="0" xfId="0" applyFont="1"/>
    <xf numFmtId="14" fontId="24" fillId="0" borderId="0" xfId="0" applyNumberFormat="1" applyFont="1"/>
    <xf numFmtId="0" fontId="25" fillId="0" borderId="0" xfId="0" applyFont="1"/>
    <xf numFmtId="164" fontId="24" fillId="0" borderId="0" xfId="0" applyNumberFormat="1" applyFont="1" applyAlignment="1">
      <alignment horizontal="center" vertical="center"/>
    </xf>
    <xf numFmtId="166" fontId="24" fillId="0" borderId="0" xfId="0" applyNumberFormat="1" applyFont="1" applyAlignment="1">
      <alignment horizontal="center"/>
    </xf>
    <xf numFmtId="166" fontId="24" fillId="0" borderId="0" xfId="0" applyNumberFormat="1" applyFont="1" applyAlignment="1">
      <alignment horizontal="left"/>
    </xf>
    <xf numFmtId="169" fontId="24" fillId="0" borderId="0" xfId="0" applyNumberFormat="1" applyFont="1"/>
    <xf numFmtId="167" fontId="26" fillId="0" borderId="0" xfId="0" applyNumberFormat="1" applyFont="1" applyAlignment="1">
      <alignment horizontal="center" vertical="center"/>
    </xf>
    <xf numFmtId="2" fontId="24" fillId="0" borderId="0" xfId="0" applyNumberFormat="1" applyFont="1" applyAlignment="1">
      <alignment horizontal="center" vertical="center"/>
    </xf>
    <xf numFmtId="164" fontId="26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170" fontId="27" fillId="4" borderId="1" xfId="0" applyNumberFormat="1" applyFont="1" applyFill="1" applyBorder="1" applyAlignment="1">
      <alignment horizontal="center" vertical="center"/>
    </xf>
    <xf numFmtId="14" fontId="27" fillId="4" borderId="1" xfId="0" applyNumberFormat="1" applyFont="1" applyFill="1" applyBorder="1" applyAlignment="1">
      <alignment horizontal="center" vertical="center"/>
    </xf>
    <xf numFmtId="164" fontId="27" fillId="4" borderId="1" xfId="0" applyNumberFormat="1" applyFont="1" applyFill="1" applyBorder="1" applyAlignment="1">
      <alignment horizontal="center" vertical="center"/>
    </xf>
    <xf numFmtId="166" fontId="27" fillId="4" borderId="1" xfId="0" applyNumberFormat="1" applyFont="1" applyFill="1" applyBorder="1" applyAlignment="1">
      <alignment horizontal="center" vertical="center"/>
    </xf>
    <xf numFmtId="166" fontId="27" fillId="0" borderId="0" xfId="0" applyNumberFormat="1" applyFont="1" applyAlignment="1">
      <alignment horizontal="left" vertical="center"/>
    </xf>
    <xf numFmtId="0" fontId="24" fillId="8" borderId="1" xfId="0" applyFont="1" applyFill="1" applyBorder="1" applyAlignment="1">
      <alignment horizontal="center" vertical="center"/>
    </xf>
    <xf numFmtId="165" fontId="24" fillId="0" borderId="1" xfId="0" applyNumberFormat="1" applyFont="1" applyBorder="1" applyAlignment="1">
      <alignment horizontal="center" vertical="center"/>
    </xf>
    <xf numFmtId="14" fontId="24" fillId="8" borderId="1" xfId="0" applyNumberFormat="1" applyFont="1" applyFill="1" applyBorder="1" applyAlignment="1">
      <alignment horizontal="center" vertical="center"/>
    </xf>
    <xf numFmtId="164" fontId="24" fillId="8" borderId="1" xfId="0" applyNumberFormat="1" applyFont="1" applyFill="1" applyBorder="1" applyAlignment="1">
      <alignment horizontal="center" vertical="center"/>
    </xf>
    <xf numFmtId="166" fontId="24" fillId="8" borderId="1" xfId="0" applyNumberFormat="1" applyFont="1" applyFill="1" applyBorder="1" applyAlignment="1">
      <alignment horizontal="center" vertical="center"/>
    </xf>
    <xf numFmtId="166" fontId="24" fillId="0" borderId="0" xfId="0" applyNumberFormat="1" applyFont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14" fontId="24" fillId="0" borderId="1" xfId="0" applyNumberFormat="1" applyFont="1" applyBorder="1" applyAlignment="1">
      <alignment horizontal="center" vertical="center"/>
    </xf>
    <xf numFmtId="164" fontId="24" fillId="0" borderId="6" xfId="0" applyNumberFormat="1" applyFont="1" applyBorder="1" applyAlignment="1">
      <alignment horizontal="center" vertical="center"/>
    </xf>
    <xf numFmtId="166" fontId="24" fillId="0" borderId="1" xfId="0" applyNumberFormat="1" applyFont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164" fontId="24" fillId="0" borderId="3" xfId="0" applyNumberFormat="1" applyFont="1" applyBorder="1" applyAlignment="1">
      <alignment horizontal="center" vertical="center"/>
    </xf>
    <xf numFmtId="166" fontId="24" fillId="0" borderId="3" xfId="0" applyNumberFormat="1" applyFont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164" fontId="24" fillId="8" borderId="3" xfId="0" applyNumberFormat="1" applyFont="1" applyFill="1" applyBorder="1" applyAlignment="1">
      <alignment horizontal="center" vertical="center"/>
    </xf>
    <xf numFmtId="166" fontId="24" fillId="8" borderId="3" xfId="0" applyNumberFormat="1" applyFont="1" applyFill="1" applyBorder="1" applyAlignment="1">
      <alignment horizontal="center" vertical="center"/>
    </xf>
    <xf numFmtId="169" fontId="27" fillId="0" borderId="0" xfId="0" applyNumberFormat="1" applyFont="1" applyAlignment="1">
      <alignment vertical="center"/>
    </xf>
    <xf numFmtId="0" fontId="28" fillId="0" borderId="1" xfId="0" applyFont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/>
    </xf>
    <xf numFmtId="166" fontId="28" fillId="0" borderId="1" xfId="0" applyNumberFormat="1" applyFont="1" applyBorder="1" applyAlignment="1">
      <alignment horizontal="center" vertical="center"/>
    </xf>
    <xf numFmtId="166" fontId="28" fillId="0" borderId="0" xfId="0" applyNumberFormat="1" applyFont="1" applyAlignment="1">
      <alignment horizontal="left" vertical="center"/>
    </xf>
    <xf numFmtId="166" fontId="24" fillId="0" borderId="1" xfId="0" applyNumberFormat="1" applyFont="1" applyBorder="1" applyAlignment="1">
      <alignment horizontal="center"/>
    </xf>
    <xf numFmtId="166" fontId="24" fillId="8" borderId="1" xfId="0" applyNumberFormat="1" applyFont="1" applyFill="1" applyBorder="1" applyAlignment="1">
      <alignment horizontal="center"/>
    </xf>
    <xf numFmtId="14" fontId="24" fillId="0" borderId="3" xfId="0" applyNumberFormat="1" applyFont="1" applyBorder="1" applyAlignment="1">
      <alignment horizontal="center" vertical="center"/>
    </xf>
    <xf numFmtId="14" fontId="24" fillId="8" borderId="3" xfId="0" applyNumberFormat="1" applyFont="1" applyFill="1" applyBorder="1" applyAlignment="1">
      <alignment horizontal="center" vertical="center"/>
    </xf>
    <xf numFmtId="164" fontId="24" fillId="8" borderId="0" xfId="0" applyNumberFormat="1" applyFont="1" applyFill="1" applyAlignment="1">
      <alignment horizontal="center" vertical="center"/>
    </xf>
    <xf numFmtId="2" fontId="24" fillId="0" borderId="0" xfId="0" applyNumberFormat="1" applyFont="1"/>
    <xf numFmtId="166" fontId="24" fillId="0" borderId="0" xfId="0" applyNumberFormat="1" applyFont="1"/>
    <xf numFmtId="169" fontId="24" fillId="0" borderId="0" xfId="0" applyNumberFormat="1" applyFont="1" applyAlignment="1">
      <alignment horizontal="center" vertical="center"/>
    </xf>
    <xf numFmtId="165" fontId="24" fillId="8" borderId="1" xfId="0" applyNumberFormat="1" applyFont="1" applyFill="1" applyBorder="1" applyAlignment="1">
      <alignment horizontal="center" vertical="center"/>
    </xf>
    <xf numFmtId="165" fontId="24" fillId="0" borderId="3" xfId="0" applyNumberFormat="1" applyFont="1" applyBorder="1" applyAlignment="1">
      <alignment horizontal="center" vertical="center"/>
    </xf>
    <xf numFmtId="165" fontId="24" fillId="8" borderId="3" xfId="0" applyNumberFormat="1" applyFont="1" applyFill="1" applyBorder="1" applyAlignment="1">
      <alignment horizontal="center" vertical="center"/>
    </xf>
    <xf numFmtId="14" fontId="30" fillId="8" borderId="6" xfId="0" applyNumberFormat="1" applyFont="1" applyFill="1" applyBorder="1" applyAlignment="1">
      <alignment horizontal="centerContinuous" vertical="center"/>
    </xf>
    <xf numFmtId="14" fontId="30" fillId="8" borderId="2" xfId="0" applyNumberFormat="1" applyFont="1" applyFill="1" applyBorder="1" applyAlignment="1">
      <alignment horizontal="centerContinuous" vertical="center"/>
    </xf>
    <xf numFmtId="164" fontId="26" fillId="8" borderId="1" xfId="0" applyNumberFormat="1" applyFont="1" applyFill="1" applyBorder="1" applyAlignment="1">
      <alignment horizontal="center" vertical="center"/>
    </xf>
    <xf numFmtId="14" fontId="31" fillId="8" borderId="6" xfId="0" applyNumberFormat="1" applyFont="1" applyFill="1" applyBorder="1" applyAlignment="1">
      <alignment horizontal="centerContinuous" vertical="center"/>
    </xf>
    <xf numFmtId="14" fontId="31" fillId="8" borderId="2" xfId="0" applyNumberFormat="1" applyFont="1" applyFill="1" applyBorder="1" applyAlignment="1">
      <alignment horizontal="centerContinuous" vertical="center"/>
    </xf>
    <xf numFmtId="164" fontId="31" fillId="8" borderId="1" xfId="0" applyNumberFormat="1" applyFont="1" applyFill="1" applyBorder="1" applyAlignment="1">
      <alignment horizontal="center" vertical="center" wrapText="1"/>
    </xf>
    <xf numFmtId="167" fontId="31" fillId="8" borderId="1" xfId="0" applyNumberFormat="1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horizontal="center" vertical="center"/>
    </xf>
    <xf numFmtId="2" fontId="32" fillId="8" borderId="1" xfId="0" applyNumberFormat="1" applyFont="1" applyFill="1" applyBorder="1" applyAlignment="1">
      <alignment horizontal="center" vertical="center"/>
    </xf>
    <xf numFmtId="164" fontId="32" fillId="8" borderId="1" xfId="0" applyNumberFormat="1" applyFont="1" applyFill="1" applyBorder="1" applyAlignment="1">
      <alignment horizontal="center" vertical="center"/>
    </xf>
    <xf numFmtId="14" fontId="33" fillId="0" borderId="1" xfId="0" applyNumberFormat="1" applyFont="1" applyBorder="1" applyAlignment="1">
      <alignment horizontal="center" vertical="center"/>
    </xf>
    <xf numFmtId="171" fontId="33" fillId="0" borderId="1" xfId="0" applyNumberFormat="1" applyFont="1" applyBorder="1" applyAlignment="1">
      <alignment horizontal="center" vertical="center"/>
    </xf>
    <xf numFmtId="164" fontId="34" fillId="0" borderId="1" xfId="0" applyNumberFormat="1" applyFont="1" applyBorder="1" applyAlignment="1">
      <alignment horizontal="center" vertical="center"/>
    </xf>
    <xf numFmtId="164" fontId="26" fillId="6" borderId="1" xfId="0" applyNumberFormat="1" applyFont="1" applyFill="1" applyBorder="1" applyAlignment="1">
      <alignment horizontal="center" vertical="center"/>
    </xf>
    <xf numFmtId="164" fontId="24" fillId="6" borderId="1" xfId="0" applyNumberFormat="1" applyFont="1" applyFill="1" applyBorder="1" applyAlignment="1">
      <alignment horizontal="center" vertical="center"/>
    </xf>
    <xf numFmtId="1" fontId="24" fillId="8" borderId="1" xfId="0" applyNumberFormat="1" applyFont="1" applyFill="1" applyBorder="1" applyAlignment="1">
      <alignment horizontal="center" vertical="center"/>
    </xf>
    <xf numFmtId="2" fontId="24" fillId="8" borderId="1" xfId="0" applyNumberFormat="1" applyFont="1" applyFill="1" applyBorder="1" applyAlignment="1">
      <alignment horizontal="center" vertical="center"/>
    </xf>
    <xf numFmtId="14" fontId="33" fillId="2" borderId="1" xfId="0" applyNumberFormat="1" applyFont="1" applyFill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164" fontId="26" fillId="0" borderId="1" xfId="0" applyNumberFormat="1" applyFont="1" applyBorder="1" applyAlignment="1">
      <alignment horizontal="center" vertical="center"/>
    </xf>
    <xf numFmtId="0" fontId="28" fillId="8" borderId="1" xfId="0" applyFont="1" applyFill="1" applyBorder="1" applyAlignment="1">
      <alignment horizontal="center" vertical="center"/>
    </xf>
    <xf numFmtId="165" fontId="28" fillId="8" borderId="1" xfId="0" applyNumberFormat="1" applyFont="1" applyFill="1" applyBorder="1" applyAlignment="1">
      <alignment horizontal="center" vertical="center"/>
    </xf>
    <xf numFmtId="14" fontId="28" fillId="8" borderId="3" xfId="0" applyNumberFormat="1" applyFont="1" applyFill="1" applyBorder="1" applyAlignment="1">
      <alignment horizontal="center" vertical="center"/>
    </xf>
    <xf numFmtId="164" fontId="28" fillId="8" borderId="1" xfId="0" applyNumberFormat="1" applyFont="1" applyFill="1" applyBorder="1" applyAlignment="1">
      <alignment horizontal="center" vertical="center"/>
    </xf>
    <xf numFmtId="166" fontId="28" fillId="8" borderId="1" xfId="0" applyNumberFormat="1" applyFont="1" applyFill="1" applyBorder="1" applyAlignment="1">
      <alignment horizontal="center" vertical="center"/>
    </xf>
    <xf numFmtId="166" fontId="26" fillId="0" borderId="6" xfId="0" applyNumberFormat="1" applyFont="1" applyBorder="1" applyAlignment="1">
      <alignment horizontal="center" vertical="center"/>
    </xf>
    <xf numFmtId="166" fontId="26" fillId="0" borderId="7" xfId="0" applyNumberFormat="1" applyFont="1" applyBorder="1" applyAlignment="1">
      <alignment horizontal="center" vertical="center"/>
    </xf>
    <xf numFmtId="169" fontId="24" fillId="0" borderId="2" xfId="0" applyNumberFormat="1" applyFont="1" applyBorder="1" applyAlignment="1">
      <alignment vertical="center"/>
    </xf>
    <xf numFmtId="166" fontId="24" fillId="0" borderId="14" xfId="0" applyNumberFormat="1" applyFont="1" applyBorder="1" applyAlignment="1">
      <alignment horizontal="left" vertical="center"/>
    </xf>
    <xf numFmtId="169" fontId="24" fillId="0" borderId="1" xfId="0" applyNumberFormat="1" applyFont="1" applyBorder="1" applyAlignment="1">
      <alignment horizontal="center" vertical="center"/>
    </xf>
    <xf numFmtId="14" fontId="35" fillId="0" borderId="1" xfId="0" applyNumberFormat="1" applyFont="1" applyBorder="1" applyAlignment="1">
      <alignment horizontal="center" vertical="center"/>
    </xf>
    <xf numFmtId="171" fontId="35" fillId="3" borderId="1" xfId="0" applyNumberFormat="1" applyFont="1" applyFill="1" applyBorder="1" applyAlignment="1">
      <alignment horizontal="center" vertical="center"/>
    </xf>
    <xf numFmtId="171" fontId="33" fillId="3" borderId="1" xfId="0" applyNumberFormat="1" applyFont="1" applyFill="1" applyBorder="1" applyAlignment="1">
      <alignment horizontal="center" vertical="center"/>
    </xf>
    <xf numFmtId="169" fontId="24" fillId="0" borderId="2" xfId="0" applyNumberFormat="1" applyFont="1" applyBorder="1"/>
    <xf numFmtId="169" fontId="24" fillId="0" borderId="15" xfId="0" applyNumberFormat="1" applyFont="1" applyBorder="1"/>
    <xf numFmtId="166" fontId="24" fillId="0" borderId="14" xfId="0" applyNumberFormat="1" applyFont="1" applyBorder="1" applyAlignment="1">
      <alignment horizontal="left"/>
    </xf>
    <xf numFmtId="0" fontId="8" fillId="3" borderId="5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1" fontId="36" fillId="3" borderId="1" xfId="0" applyNumberFormat="1" applyFont="1" applyFill="1" applyBorder="1" applyAlignment="1">
      <alignment horizontal="center" vertical="center"/>
    </xf>
    <xf numFmtId="1" fontId="24" fillId="0" borderId="0" xfId="0" applyNumberFormat="1" applyFont="1" applyAlignment="1">
      <alignment horizontal="center" vertical="center"/>
    </xf>
    <xf numFmtId="14" fontId="24" fillId="0" borderId="0" xfId="0" applyNumberFormat="1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64" fontId="24" fillId="0" borderId="0" xfId="0" applyNumberFormat="1" applyFont="1"/>
    <xf numFmtId="167" fontId="26" fillId="0" borderId="1" xfId="0" applyNumberFormat="1" applyFont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/>
    </xf>
    <xf numFmtId="169" fontId="28" fillId="0" borderId="0" xfId="0" applyNumberFormat="1" applyFont="1"/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14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64" fontId="0" fillId="8" borderId="6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0" fontId="16" fillId="8" borderId="12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0" fontId="16" fillId="8" borderId="1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/>
    <xf numFmtId="0" fontId="18" fillId="0" borderId="2" xfId="0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37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37" fillId="0" borderId="0" xfId="0" applyFont="1" applyAlignment="1">
      <alignment horizontal="right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/>
    <xf numFmtId="0" fontId="18" fillId="0" borderId="9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37" fillId="0" borderId="0" xfId="0" applyFont="1"/>
    <xf numFmtId="172" fontId="0" fillId="0" borderId="0" xfId="0" applyNumberFormat="1" applyAlignment="1">
      <alignment horizontal="center" vertical="center"/>
    </xf>
    <xf numFmtId="0" fontId="8" fillId="16" borderId="6" xfId="0" applyFont="1" applyFill="1" applyBorder="1" applyAlignment="1">
      <alignment horizontal="centerContinuous" vertical="center"/>
    </xf>
    <xf numFmtId="0" fontId="8" fillId="16" borderId="7" xfId="0" applyFont="1" applyFill="1" applyBorder="1" applyAlignment="1">
      <alignment horizontal="centerContinuous" vertical="center"/>
    </xf>
    <xf numFmtId="0" fontId="8" fillId="16" borderId="2" xfId="0" applyFont="1" applyFill="1" applyBorder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8" fillId="16" borderId="12" xfId="0" applyFont="1" applyFill="1" applyBorder="1" applyAlignment="1">
      <alignment horizontal="center" vertical="center"/>
    </xf>
    <xf numFmtId="0" fontId="8" fillId="16" borderId="11" xfId="0" applyFont="1" applyFill="1" applyBorder="1" applyAlignment="1">
      <alignment horizontal="center" vertical="center"/>
    </xf>
    <xf numFmtId="173" fontId="0" fillId="0" borderId="6" xfId="0" applyNumberFormat="1" applyBorder="1" applyAlignment="1">
      <alignment horizontal="center" vertical="center"/>
    </xf>
    <xf numFmtId="0" fontId="8" fillId="16" borderId="6" xfId="0" applyFont="1" applyFill="1" applyBorder="1" applyAlignment="1">
      <alignment horizontal="center" vertical="center"/>
    </xf>
    <xf numFmtId="172" fontId="8" fillId="16" borderId="1" xfId="0" applyNumberFormat="1" applyFont="1" applyFill="1" applyBorder="1" applyAlignment="1">
      <alignment horizontal="center" vertical="center"/>
    </xf>
    <xf numFmtId="164" fontId="8" fillId="16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2" fontId="0" fillId="0" borderId="5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/>
    <xf numFmtId="172" fontId="0" fillId="0" borderId="1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8" fillId="4" borderId="6" xfId="0" applyFont="1" applyFill="1" applyBorder="1" applyAlignment="1">
      <alignment horizontal="center" vertical="center"/>
    </xf>
    <xf numFmtId="172" fontId="8" fillId="4" borderId="5" xfId="0" applyNumberFormat="1" applyFont="1" applyFill="1" applyBorder="1" applyAlignment="1">
      <alignment horizontal="center" vertical="center"/>
    </xf>
    <xf numFmtId="172" fontId="8" fillId="4" borderId="1" xfId="0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horizontal="left" vertical="center"/>
    </xf>
    <xf numFmtId="164" fontId="37" fillId="0" borderId="1" xfId="0" applyNumberFormat="1" applyFont="1" applyBorder="1" applyAlignment="1">
      <alignment horizontal="center" vertical="center"/>
    </xf>
    <xf numFmtId="172" fontId="37" fillId="0" borderId="1" xfId="0" applyNumberFormat="1" applyFont="1" applyBorder="1" applyAlignment="1">
      <alignment horizontal="center" vertical="center"/>
    </xf>
    <xf numFmtId="0" fontId="0" fillId="0" borderId="6" xfId="0" applyBorder="1"/>
    <xf numFmtId="174" fontId="0" fillId="0" borderId="1" xfId="0" applyNumberFormat="1" applyBorder="1" applyAlignment="1">
      <alignment horizontal="center" vertical="center"/>
    </xf>
    <xf numFmtId="0" fontId="37" fillId="0" borderId="1" xfId="0" applyFont="1" applyBorder="1"/>
    <xf numFmtId="174" fontId="37" fillId="0" borderId="1" xfId="0" applyNumberFormat="1" applyFont="1" applyBorder="1" applyAlignment="1">
      <alignment horizontal="center" vertical="center"/>
    </xf>
    <xf numFmtId="0" fontId="37" fillId="0" borderId="6" xfId="0" applyFont="1" applyBorder="1"/>
    <xf numFmtId="0" fontId="11" fillId="14" borderId="1" xfId="0" applyFont="1" applyFill="1" applyBorder="1" applyAlignment="1">
      <alignment horizontal="left" vertical="center"/>
    </xf>
    <xf numFmtId="164" fontId="8" fillId="14" borderId="1" xfId="0" applyNumberFormat="1" applyFont="1" applyFill="1" applyBorder="1" applyAlignment="1">
      <alignment horizontal="center" vertical="center"/>
    </xf>
    <xf numFmtId="172" fontId="8" fillId="19" borderId="1" xfId="0" applyNumberFormat="1" applyFont="1" applyFill="1" applyBorder="1" applyAlignment="1">
      <alignment horizontal="center" vertical="center"/>
    </xf>
    <xf numFmtId="164" fontId="8" fillId="19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right"/>
    </xf>
    <xf numFmtId="172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 vertical="center"/>
    </xf>
    <xf numFmtId="0" fontId="8" fillId="0" borderId="1" xfId="0" applyFont="1" applyBorder="1"/>
    <xf numFmtId="164" fontId="8" fillId="0" borderId="1" xfId="0" applyNumberFormat="1" applyFont="1" applyBorder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38" fillId="3" borderId="1" xfId="0" applyFont="1" applyFill="1" applyBorder="1" applyAlignment="1">
      <alignment horizontal="centerContinuous" vertical="center"/>
    </xf>
    <xf numFmtId="164" fontId="38" fillId="3" borderId="1" xfId="0" applyNumberFormat="1" applyFont="1" applyFill="1" applyBorder="1" applyAlignment="1">
      <alignment horizontal="center" vertical="center"/>
    </xf>
    <xf numFmtId="164" fontId="38" fillId="3" borderId="1" xfId="0" applyNumberFormat="1" applyFont="1" applyFill="1" applyBorder="1" applyAlignment="1">
      <alignment horizontal="centerContinuous" vertical="center"/>
    </xf>
    <xf numFmtId="0" fontId="39" fillId="0" borderId="0" xfId="0" applyFont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/>
    </xf>
    <xf numFmtId="172" fontId="7" fillId="2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Continuous" vertical="center"/>
    </xf>
    <xf numFmtId="0" fontId="7" fillId="18" borderId="6" xfId="0" applyFont="1" applyFill="1" applyBorder="1" applyAlignment="1">
      <alignment horizontal="centerContinuous" vertical="center"/>
    </xf>
    <xf numFmtId="0" fontId="7" fillId="18" borderId="7" xfId="0" applyFont="1" applyFill="1" applyBorder="1" applyAlignment="1">
      <alignment horizontal="centerContinuous" vertical="center"/>
    </xf>
    <xf numFmtId="164" fontId="7" fillId="18" borderId="7" xfId="0" applyNumberFormat="1" applyFont="1" applyFill="1" applyBorder="1" applyAlignment="1">
      <alignment horizontal="center" vertical="center"/>
    </xf>
    <xf numFmtId="164" fontId="7" fillId="18" borderId="7" xfId="0" applyNumberFormat="1" applyFont="1" applyFill="1" applyBorder="1" applyAlignment="1">
      <alignment horizontal="centerContinuous" vertical="center"/>
    </xf>
    <xf numFmtId="0" fontId="7" fillId="18" borderId="2" xfId="0" applyFont="1" applyFill="1" applyBorder="1" applyAlignment="1">
      <alignment horizontal="centerContinuous" vertical="center"/>
    </xf>
    <xf numFmtId="172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7" fillId="18" borderId="7" xfId="0" applyFont="1" applyFill="1" applyBorder="1" applyAlignment="1">
      <alignment horizontal="center" vertical="center"/>
    </xf>
    <xf numFmtId="0" fontId="7" fillId="18" borderId="6" xfId="0" applyFont="1" applyFill="1" applyBorder="1" applyAlignment="1">
      <alignment vertical="center"/>
    </xf>
    <xf numFmtId="0" fontId="7" fillId="18" borderId="7" xfId="0" applyFont="1" applyFill="1" applyBorder="1" applyAlignment="1">
      <alignment vertical="center"/>
    </xf>
    <xf numFmtId="0" fontId="7" fillId="18" borderId="2" xfId="0" applyFont="1" applyFill="1" applyBorder="1" applyAlignment="1">
      <alignment vertical="center"/>
    </xf>
    <xf numFmtId="164" fontId="8" fillId="0" borderId="1" xfId="0" applyNumberFormat="1" applyFont="1" applyBorder="1" applyAlignment="1">
      <alignment horizontal="centerContinuous" vertical="center"/>
    </xf>
    <xf numFmtId="167" fontId="0" fillId="0" borderId="0" xfId="0" applyNumberFormat="1" applyAlignment="1">
      <alignment horizontal="center" vertical="center"/>
    </xf>
    <xf numFmtId="0" fontId="7" fillId="18" borderId="6" xfId="0" applyFont="1" applyFill="1" applyBorder="1" applyAlignment="1">
      <alignment horizontal="centerContinuous" vertical="center" wrapText="1"/>
    </xf>
    <xf numFmtId="0" fontId="39" fillId="18" borderId="7" xfId="0" applyFont="1" applyFill="1" applyBorder="1" applyAlignment="1">
      <alignment horizontal="centerContinuous" vertical="center" wrapText="1"/>
    </xf>
    <xf numFmtId="164" fontId="39" fillId="18" borderId="7" xfId="0" applyNumberFormat="1" applyFont="1" applyFill="1" applyBorder="1" applyAlignment="1">
      <alignment horizontal="center" vertical="center" wrapText="1"/>
    </xf>
    <xf numFmtId="164" fontId="39" fillId="18" borderId="7" xfId="0" applyNumberFormat="1" applyFont="1" applyFill="1" applyBorder="1" applyAlignment="1">
      <alignment horizontal="centerContinuous" vertical="center" wrapText="1"/>
    </xf>
    <xf numFmtId="0" fontId="39" fillId="18" borderId="2" xfId="0" applyFont="1" applyFill="1" applyBorder="1" applyAlignment="1">
      <alignment horizontal="centerContinuous" vertical="center" wrapText="1"/>
    </xf>
    <xf numFmtId="0" fontId="7" fillId="3" borderId="6" xfId="0" applyFont="1" applyFill="1" applyBorder="1" applyAlignment="1">
      <alignment horizontal="centerContinuous" vertical="center"/>
    </xf>
    <xf numFmtId="0" fontId="7" fillId="3" borderId="7" xfId="0" applyFont="1" applyFill="1" applyBorder="1" applyAlignment="1">
      <alignment horizontal="centerContinuous" vertical="center"/>
    </xf>
    <xf numFmtId="164" fontId="7" fillId="3" borderId="7" xfId="0" applyNumberFormat="1" applyFont="1" applyFill="1" applyBorder="1" applyAlignment="1">
      <alignment horizontal="center" vertical="center"/>
    </xf>
    <xf numFmtId="164" fontId="7" fillId="3" borderId="7" xfId="0" applyNumberFormat="1" applyFont="1" applyFill="1" applyBorder="1" applyAlignment="1">
      <alignment horizontal="centerContinuous" vertical="center"/>
    </xf>
    <xf numFmtId="0" fontId="7" fillId="3" borderId="2" xfId="0" applyFont="1" applyFill="1" applyBorder="1" applyAlignment="1">
      <alignment horizontal="centerContinuous"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164" fontId="16" fillId="0" borderId="6" xfId="0" applyNumberFormat="1" applyFont="1" applyBorder="1" applyAlignment="1">
      <alignment horizontal="center" vertical="center"/>
    </xf>
    <xf numFmtId="164" fontId="16" fillId="0" borderId="7" xfId="0" applyNumberFormat="1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center" vertical="center"/>
    </xf>
    <xf numFmtId="167" fontId="0" fillId="0" borderId="0" xfId="0" applyNumberFormat="1"/>
    <xf numFmtId="0" fontId="7" fillId="18" borderId="1" xfId="0" applyFont="1" applyFill="1" applyBorder="1" applyAlignment="1">
      <alignment horizontal="centerContinuous" vertical="center"/>
    </xf>
    <xf numFmtId="164" fontId="7" fillId="18" borderId="1" xfId="0" applyNumberFormat="1" applyFont="1" applyFill="1" applyBorder="1" applyAlignment="1">
      <alignment horizontal="center" vertical="center"/>
    </xf>
    <xf numFmtId="164" fontId="7" fillId="18" borderId="1" xfId="0" applyNumberFormat="1" applyFont="1" applyFill="1" applyBorder="1" applyAlignment="1">
      <alignment horizontal="centerContinuous" vertical="center"/>
    </xf>
    <xf numFmtId="164" fontId="7" fillId="0" borderId="0" xfId="0" applyNumberFormat="1" applyFont="1" applyAlignment="1">
      <alignment horizontal="center" vertical="center"/>
    </xf>
    <xf numFmtId="172" fontId="7" fillId="0" borderId="0" xfId="0" applyNumberFormat="1" applyFont="1" applyAlignment="1">
      <alignment horizontal="center" vertical="center"/>
    </xf>
    <xf numFmtId="172" fontId="8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left"/>
    </xf>
    <xf numFmtId="164" fontId="37" fillId="0" borderId="0" xfId="0" applyNumberFormat="1" applyFont="1" applyAlignment="1">
      <alignment horizontal="left" vertical="center"/>
    </xf>
    <xf numFmtId="164" fontId="3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166" fontId="0" fillId="0" borderId="0" xfId="0" applyNumberFormat="1"/>
    <xf numFmtId="0" fontId="0" fillId="0" borderId="16" xfId="0" applyBorder="1"/>
    <xf numFmtId="0" fontId="0" fillId="9" borderId="17" xfId="0" applyFill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 wrapText="1"/>
    </xf>
    <xf numFmtId="0" fontId="0" fillId="12" borderId="17" xfId="0" applyFill="1" applyBorder="1" applyAlignment="1">
      <alignment horizontal="center" vertical="center"/>
    </xf>
    <xf numFmtId="0" fontId="0" fillId="20" borderId="17" xfId="0" applyFill="1" applyBorder="1" applyAlignment="1">
      <alignment horizontal="center" vertical="center"/>
    </xf>
    <xf numFmtId="0" fontId="0" fillId="18" borderId="17" xfId="0" applyFill="1" applyBorder="1" applyAlignment="1">
      <alignment horizontal="center" vertical="center"/>
    </xf>
    <xf numFmtId="0" fontId="0" fillId="21" borderId="17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22" borderId="17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16" borderId="17" xfId="0" applyFill="1" applyBorder="1" applyAlignment="1">
      <alignment horizontal="center" vertical="center"/>
    </xf>
    <xf numFmtId="0" fontId="0" fillId="17" borderId="17" xfId="0" applyFill="1" applyBorder="1" applyAlignment="1">
      <alignment horizontal="center" vertical="center"/>
    </xf>
    <xf numFmtId="0" fontId="0" fillId="20" borderId="18" xfId="0" applyFill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14" fontId="0" fillId="9" borderId="12" xfId="0" applyNumberFormat="1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14" fontId="0" fillId="12" borderId="5" xfId="0" applyNumberFormat="1" applyFill="1" applyBorder="1" applyAlignment="1">
      <alignment horizontal="center" vertical="center"/>
    </xf>
    <xf numFmtId="0" fontId="0" fillId="20" borderId="5" xfId="0" applyFill="1" applyBorder="1" applyAlignment="1">
      <alignment horizontal="center" vertical="center"/>
    </xf>
    <xf numFmtId="14" fontId="0" fillId="20" borderId="5" xfId="0" applyNumberFormat="1" applyFill="1" applyBorder="1" applyAlignment="1">
      <alignment horizontal="center" vertical="center"/>
    </xf>
    <xf numFmtId="0" fontId="0" fillId="18" borderId="5" xfId="0" applyFill="1" applyBorder="1" applyAlignment="1">
      <alignment horizontal="center" vertical="center"/>
    </xf>
    <xf numFmtId="14" fontId="0" fillId="18" borderId="5" xfId="0" applyNumberFormat="1" applyFill="1" applyBorder="1" applyAlignment="1">
      <alignment horizontal="center" vertical="center"/>
    </xf>
    <xf numFmtId="0" fontId="0" fillId="21" borderId="11" xfId="0" applyFill="1" applyBorder="1" applyAlignment="1">
      <alignment horizontal="center" vertical="center"/>
    </xf>
    <xf numFmtId="14" fontId="0" fillId="21" borderId="11" xfId="0" applyNumberForma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14" fontId="0" fillId="6" borderId="5" xfId="0" applyNumberFormat="1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14" fontId="0" fillId="22" borderId="5" xfId="0" applyNumberForma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14" fontId="0" fillId="5" borderId="11" xfId="0" applyNumberFormat="1" applyFill="1" applyBorder="1" applyAlignment="1">
      <alignment horizontal="center" vertical="center"/>
    </xf>
    <xf numFmtId="0" fontId="0" fillId="16" borderId="5" xfId="0" applyFill="1" applyBorder="1" applyAlignment="1">
      <alignment horizontal="center" vertical="center"/>
    </xf>
    <xf numFmtId="14" fontId="0" fillId="16" borderId="5" xfId="0" applyNumberFormat="1" applyFill="1" applyBorder="1" applyAlignment="1">
      <alignment horizontal="center" vertical="center"/>
    </xf>
    <xf numFmtId="0" fontId="0" fillId="17" borderId="5" xfId="0" applyFill="1" applyBorder="1" applyAlignment="1">
      <alignment horizontal="center" vertical="center"/>
    </xf>
    <xf numFmtId="14" fontId="0" fillId="17" borderId="5" xfId="0" applyNumberFormat="1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39" fillId="0" borderId="20" xfId="0" applyFont="1" applyBorder="1" applyAlignment="1">
      <alignment vertical="center"/>
    </xf>
    <xf numFmtId="0" fontId="0" fillId="9" borderId="2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0" fillId="21" borderId="6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22" borderId="1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39" fillId="0" borderId="22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vertical="center"/>
    </xf>
    <xf numFmtId="0" fontId="0" fillId="15" borderId="23" xfId="0" applyFill="1" applyBorder="1" applyAlignment="1">
      <alignment horizontal="center" vertical="center"/>
    </xf>
    <xf numFmtId="14" fontId="0" fillId="15" borderId="12" xfId="0" applyNumberFormat="1" applyFill="1" applyBorder="1" applyAlignment="1">
      <alignment horizontal="center" vertical="center"/>
    </xf>
    <xf numFmtId="0" fontId="0" fillId="23" borderId="3" xfId="0" applyFill="1" applyBorder="1" applyAlignment="1">
      <alignment horizontal="center" vertical="center"/>
    </xf>
    <xf numFmtId="14" fontId="0" fillId="23" borderId="5" xfId="0" applyNumberForma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24" borderId="3" xfId="0" applyFill="1" applyBorder="1" applyAlignment="1">
      <alignment horizontal="center" vertical="center"/>
    </xf>
    <xf numFmtId="14" fontId="0" fillId="24" borderId="5" xfId="0" applyNumberFormat="1" applyFill="1" applyBorder="1" applyAlignment="1">
      <alignment horizontal="center" vertical="center"/>
    </xf>
    <xf numFmtId="0" fontId="0" fillId="25" borderId="3" xfId="0" applyFill="1" applyBorder="1" applyAlignment="1">
      <alignment horizontal="center" vertical="center"/>
    </xf>
    <xf numFmtId="14" fontId="0" fillId="25" borderId="5" xfId="0" applyNumberForma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14" fontId="0" fillId="7" borderId="11" xfId="0" applyNumberFormat="1" applyFill="1" applyBorder="1" applyAlignment="1">
      <alignment horizontal="center" vertical="center"/>
    </xf>
    <xf numFmtId="0" fontId="0" fillId="26" borderId="3" xfId="0" applyFill="1" applyBorder="1" applyAlignment="1">
      <alignment horizontal="center" vertical="center"/>
    </xf>
    <xf numFmtId="0" fontId="0" fillId="27" borderId="3" xfId="0" applyFill="1" applyBorder="1" applyAlignment="1">
      <alignment horizontal="center" vertical="center"/>
    </xf>
    <xf numFmtId="14" fontId="0" fillId="27" borderId="5" xfId="0" applyNumberFormat="1" applyFill="1" applyBorder="1" applyAlignment="1">
      <alignment horizontal="center" vertical="center"/>
    </xf>
    <xf numFmtId="0" fontId="0" fillId="28" borderId="8" xfId="0" applyFill="1" applyBorder="1" applyAlignment="1">
      <alignment horizontal="center" vertical="center"/>
    </xf>
    <xf numFmtId="14" fontId="0" fillId="28" borderId="8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4" fontId="0" fillId="3" borderId="3" xfId="0" applyNumberFormat="1" applyFill="1" applyBorder="1" applyAlignment="1">
      <alignment horizontal="center" vertical="center"/>
    </xf>
    <xf numFmtId="0" fontId="0" fillId="29" borderId="3" xfId="0" applyFill="1" applyBorder="1" applyAlignment="1">
      <alignment horizontal="center" vertical="center"/>
    </xf>
    <xf numFmtId="14" fontId="0" fillId="29" borderId="3" xfId="0" applyNumberFormat="1" applyFill="1" applyBorder="1" applyAlignment="1">
      <alignment horizontal="center" vertical="center"/>
    </xf>
    <xf numFmtId="0" fontId="0" fillId="19" borderId="9" xfId="0" applyFill="1" applyBorder="1" applyAlignment="1">
      <alignment horizontal="center" vertical="center"/>
    </xf>
    <xf numFmtId="14" fontId="0" fillId="19" borderId="15" xfId="0" applyNumberForma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14" fontId="0" fillId="14" borderId="3" xfId="0" applyNumberFormat="1" applyFill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6" xfId="0" applyBorder="1" applyAlignment="1">
      <alignment vertical="center"/>
    </xf>
    <xf numFmtId="0" fontId="39" fillId="0" borderId="27" xfId="0" applyFont="1" applyBorder="1" applyAlignment="1">
      <alignment vertical="center"/>
    </xf>
    <xf numFmtId="0" fontId="16" fillId="0" borderId="17" xfId="0" applyFon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1" fontId="7" fillId="0" borderId="18" xfId="0" applyNumberFormat="1" applyFont="1" applyBorder="1" applyAlignment="1">
      <alignment vertical="center"/>
    </xf>
    <xf numFmtId="1" fontId="7" fillId="0" borderId="29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" fontId="39" fillId="0" borderId="19" xfId="0" applyNumberFormat="1" applyFont="1" applyBorder="1" applyAlignment="1">
      <alignment horizontal="center" vertical="center"/>
    </xf>
    <xf numFmtId="1" fontId="39" fillId="16" borderId="30" xfId="0" applyNumberFormat="1" applyFont="1" applyFill="1" applyBorder="1" applyAlignment="1">
      <alignment vertical="center"/>
    </xf>
    <xf numFmtId="1" fontId="39" fillId="0" borderId="5" xfId="0" applyNumberFormat="1" applyFont="1" applyBorder="1" applyAlignment="1">
      <alignment horizontal="center" vertical="center"/>
    </xf>
    <xf numFmtId="1" fontId="39" fillId="0" borderId="30" xfId="0" applyNumberFormat="1" applyFont="1" applyBorder="1" applyAlignment="1">
      <alignment vertical="center"/>
    </xf>
    <xf numFmtId="0" fontId="39" fillId="0" borderId="30" xfId="0" applyFont="1" applyBorder="1" applyAlignment="1">
      <alignment vertical="center"/>
    </xf>
    <xf numFmtId="1" fontId="39" fillId="0" borderId="31" xfId="0" applyNumberFormat="1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" fontId="39" fillId="0" borderId="21" xfId="0" applyNumberFormat="1" applyFont="1" applyBorder="1" applyAlignment="1">
      <alignment horizontal="center" vertical="center"/>
    </xf>
    <xf numFmtId="1" fontId="39" fillId="0" borderId="6" xfId="0" applyNumberFormat="1" applyFont="1" applyBorder="1" applyAlignment="1">
      <alignment vertical="center"/>
    </xf>
    <xf numFmtId="1" fontId="39" fillId="0" borderId="1" xfId="0" applyNumberFormat="1" applyFont="1" applyBorder="1" applyAlignment="1">
      <alignment horizontal="center" vertical="center"/>
    </xf>
    <xf numFmtId="0" fontId="39" fillId="0" borderId="6" xfId="0" applyFont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6" fontId="0" fillId="30" borderId="1" xfId="0" applyNumberFormat="1" applyFill="1" applyBorder="1"/>
    <xf numFmtId="1" fontId="39" fillId="0" borderId="23" xfId="0" applyNumberFormat="1" applyFont="1" applyBorder="1" applyAlignment="1">
      <alignment horizontal="center" vertical="center"/>
    </xf>
    <xf numFmtId="1" fontId="39" fillId="0" borderId="35" xfId="0" applyNumberFormat="1" applyFont="1" applyBorder="1" applyAlignment="1">
      <alignment vertical="center"/>
    </xf>
    <xf numFmtId="1" fontId="39" fillId="0" borderId="24" xfId="0" applyNumberFormat="1" applyFont="1" applyBorder="1" applyAlignment="1">
      <alignment horizontal="center" vertical="center"/>
    </xf>
    <xf numFmtId="0" fontId="39" fillId="0" borderId="35" xfId="0" applyFont="1" applyBorder="1" applyAlignment="1">
      <alignment vertical="center"/>
    </xf>
    <xf numFmtId="0" fontId="0" fillId="0" borderId="36" xfId="0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166" fontId="10" fillId="0" borderId="0" xfId="0" applyNumberFormat="1" applyFont="1"/>
    <xf numFmtId="164" fontId="10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42" fillId="0" borderId="0" xfId="0" applyFont="1"/>
    <xf numFmtId="0" fontId="42" fillId="0" borderId="0" xfId="0" applyFont="1" applyAlignment="1">
      <alignment horizontal="center" vertical="center"/>
    </xf>
    <xf numFmtId="0" fontId="43" fillId="0" borderId="0" xfId="0" applyFont="1"/>
    <xf numFmtId="0" fontId="44" fillId="18" borderId="37" xfId="0" applyFont="1" applyFill="1" applyBorder="1"/>
    <xf numFmtId="0" fontId="45" fillId="3" borderId="38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45" fillId="3" borderId="37" xfId="0" applyFont="1" applyFill="1" applyBorder="1" applyAlignment="1">
      <alignment horizontal="center" vertical="center"/>
    </xf>
    <xf numFmtId="0" fontId="36" fillId="18" borderId="0" xfId="0" applyFont="1" applyFill="1"/>
    <xf numFmtId="0" fontId="46" fillId="0" borderId="1" xfId="0" applyFont="1" applyBorder="1"/>
    <xf numFmtId="0" fontId="42" fillId="0" borderId="1" xfId="0" applyFont="1" applyBorder="1"/>
    <xf numFmtId="14" fontId="18" fillId="0" borderId="1" xfId="0" applyNumberFormat="1" applyFont="1" applyBorder="1"/>
    <xf numFmtId="0" fontId="36" fillId="0" borderId="1" xfId="0" applyFont="1" applyBorder="1" applyAlignment="1">
      <alignment horizontal="center" vertical="center"/>
    </xf>
    <xf numFmtId="14" fontId="42" fillId="0" borderId="1" xfId="0" applyNumberFormat="1" applyFont="1" applyBorder="1"/>
    <xf numFmtId="165" fontId="18" fillId="0" borderId="0" xfId="0" applyNumberFormat="1" applyFont="1"/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6" fillId="0" borderId="0" xfId="0" applyFont="1"/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8" fillId="0" borderId="39" xfId="0" applyFont="1" applyBorder="1"/>
    <xf numFmtId="49" fontId="18" fillId="0" borderId="0" xfId="0" applyNumberFormat="1" applyFont="1"/>
    <xf numFmtId="0" fontId="48" fillId="0" borderId="40" xfId="0" applyFont="1" applyBorder="1"/>
    <xf numFmtId="0" fontId="12" fillId="3" borderId="13" xfId="0" applyFont="1" applyFill="1" applyBorder="1" applyAlignment="1">
      <alignment horizontal="center" vertical="center"/>
    </xf>
    <xf numFmtId="0" fontId="36" fillId="3" borderId="13" xfId="0" applyFont="1" applyFill="1" applyBorder="1" applyAlignment="1">
      <alignment horizontal="center" vertical="center"/>
    </xf>
    <xf numFmtId="0" fontId="47" fillId="0" borderId="7" xfId="0" applyFont="1" applyBorder="1" applyAlignment="1">
      <alignment horizontal="left" vertical="center" wrapText="1"/>
    </xf>
    <xf numFmtId="0" fontId="42" fillId="0" borderId="7" xfId="0" applyFont="1" applyBorder="1" applyAlignment="1">
      <alignment horizontal="left" vertical="center"/>
    </xf>
    <xf numFmtId="0" fontId="42" fillId="0" borderId="10" xfId="0" applyFont="1" applyBorder="1"/>
    <xf numFmtId="0" fontId="47" fillId="0" borderId="10" xfId="0" applyFont="1" applyBorder="1" applyAlignment="1">
      <alignment horizontal="left" vertical="center" wrapText="1"/>
    </xf>
    <xf numFmtId="0" fontId="42" fillId="0" borderId="10" xfId="0" applyFont="1" applyBorder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7" fillId="18" borderId="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24" fillId="31" borderId="3" xfId="0" applyFont="1" applyFill="1" applyBorder="1" applyAlignment="1">
      <alignment horizontal="center" vertical="center"/>
    </xf>
    <xf numFmtId="165" fontId="24" fillId="31" borderId="3" xfId="0" applyNumberFormat="1" applyFont="1" applyFill="1" applyBorder="1" applyAlignment="1">
      <alignment horizontal="center" vertical="center"/>
    </xf>
    <xf numFmtId="14" fontId="24" fillId="31" borderId="1" xfId="0" applyNumberFormat="1" applyFont="1" applyFill="1" applyBorder="1" applyAlignment="1">
      <alignment horizontal="center" vertical="center"/>
    </xf>
    <xf numFmtId="164" fontId="24" fillId="31" borderId="3" xfId="0" applyNumberFormat="1" applyFont="1" applyFill="1" applyBorder="1" applyAlignment="1">
      <alignment horizontal="center" vertical="center"/>
    </xf>
    <xf numFmtId="166" fontId="24" fillId="31" borderId="3" xfId="0" applyNumberFormat="1" applyFont="1" applyFill="1" applyBorder="1" applyAlignment="1">
      <alignment horizontal="center" vertical="center"/>
    </xf>
    <xf numFmtId="1" fontId="38" fillId="3" borderId="1" xfId="0" applyNumberFormat="1" applyFont="1" applyFill="1" applyBorder="1" applyAlignment="1">
      <alignment horizontal="centerContinuous" vertical="center"/>
    </xf>
    <xf numFmtId="1" fontId="7" fillId="2" borderId="5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Continuous" vertical="center"/>
    </xf>
    <xf numFmtId="1" fontId="7" fillId="18" borderId="7" xfId="0" applyNumberFormat="1" applyFont="1" applyFill="1" applyBorder="1" applyAlignment="1">
      <alignment horizontal="centerContinuous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/>
    <xf numFmtId="1" fontId="7" fillId="18" borderId="7" xfId="0" applyNumberFormat="1" applyFont="1" applyFill="1" applyBorder="1" applyAlignment="1">
      <alignment vertical="center"/>
    </xf>
    <xf numFmtId="1" fontId="0" fillId="0" borderId="1" xfId="0" applyNumberFormat="1" applyBorder="1" applyAlignment="1">
      <alignment horizontal="centerContinuous" vertical="center"/>
    </xf>
    <xf numFmtId="1" fontId="39" fillId="18" borderId="7" xfId="0" applyNumberFormat="1" applyFont="1" applyFill="1" applyBorder="1" applyAlignment="1">
      <alignment horizontal="centerContinuous" vertical="center" wrapText="1"/>
    </xf>
    <xf numFmtId="1" fontId="7" fillId="3" borderId="7" xfId="0" applyNumberFormat="1" applyFont="1" applyFill="1" applyBorder="1" applyAlignment="1">
      <alignment horizontal="centerContinuous" vertical="center"/>
    </xf>
    <xf numFmtId="1" fontId="16" fillId="0" borderId="1" xfId="0" applyNumberFormat="1" applyFont="1" applyBorder="1" applyAlignment="1">
      <alignment horizontal="center" vertical="center"/>
    </xf>
    <xf numFmtId="1" fontId="7" fillId="18" borderId="1" xfId="0" applyNumberFormat="1" applyFont="1" applyFill="1" applyBorder="1" applyAlignment="1">
      <alignment horizontal="centerContinuous" vertical="center"/>
    </xf>
    <xf numFmtId="1" fontId="0" fillId="0" borderId="1" xfId="0" applyNumberFormat="1" applyBorder="1" applyAlignment="1">
      <alignment horizontal="center" vertical="center" wrapText="1"/>
    </xf>
    <xf numFmtId="1" fontId="0" fillId="0" borderId="0" xfId="0" applyNumberFormat="1"/>
    <xf numFmtId="0" fontId="4" fillId="0" borderId="1" xfId="0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50" fillId="0" borderId="1" xfId="0" applyNumberFormat="1" applyFont="1" applyBorder="1" applyAlignment="1">
      <alignment horizontal="center" vertical="center"/>
    </xf>
    <xf numFmtId="172" fontId="50" fillId="0" borderId="1" xfId="0" applyNumberFormat="1" applyFont="1" applyBorder="1" applyAlignment="1">
      <alignment horizontal="center" vertical="center"/>
    </xf>
    <xf numFmtId="0" fontId="4" fillId="0" borderId="0" xfId="0" applyFont="1"/>
    <xf numFmtId="167" fontId="50" fillId="0" borderId="0" xfId="0" applyNumberFormat="1" applyFont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72" fontId="8" fillId="0" borderId="2" xfId="0" applyNumberFormat="1" applyFont="1" applyBorder="1" applyAlignment="1">
      <alignment horizontal="center" vertical="center"/>
    </xf>
    <xf numFmtId="0" fontId="4" fillId="0" borderId="1" xfId="0" applyFont="1" applyBorder="1"/>
    <xf numFmtId="0" fontId="50" fillId="0" borderId="1" xfId="0" applyFont="1" applyBorder="1" applyAlignment="1">
      <alignment horizontal="right" vertical="center" wrapText="1"/>
    </xf>
    <xf numFmtId="0" fontId="51" fillId="0" borderId="1" xfId="0" applyFont="1" applyBorder="1" applyAlignment="1">
      <alignment horizontal="left" vertical="center" wrapText="1"/>
    </xf>
    <xf numFmtId="1" fontId="51" fillId="0" borderId="1" xfId="0" applyNumberFormat="1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0" borderId="9" xfId="0" applyFont="1" applyBorder="1" applyAlignment="1">
      <alignment horizontal="center" vertical="center"/>
    </xf>
    <xf numFmtId="0" fontId="52" fillId="0" borderId="3" xfId="0" applyFont="1" applyBorder="1" applyAlignment="1">
      <alignment horizontal="center" vertical="center"/>
    </xf>
    <xf numFmtId="0" fontId="52" fillId="0" borderId="8" xfId="0" applyFont="1" applyBorder="1" applyAlignment="1">
      <alignment horizontal="center" vertical="center"/>
    </xf>
    <xf numFmtId="0" fontId="52" fillId="0" borderId="1" xfId="0" applyFont="1" applyBorder="1"/>
    <xf numFmtId="0" fontId="52" fillId="0" borderId="3" xfId="0" applyFont="1" applyBorder="1"/>
    <xf numFmtId="173" fontId="0" fillId="0" borderId="8" xfId="0" applyNumberFormat="1" applyBorder="1" applyAlignment="1">
      <alignment horizontal="center" vertical="center"/>
    </xf>
    <xf numFmtId="0" fontId="36" fillId="3" borderId="1" xfId="0" applyFont="1" applyFill="1" applyBorder="1" applyAlignment="1">
      <alignment horizontal="center" vertical="center"/>
    </xf>
    <xf numFmtId="14" fontId="24" fillId="31" borderId="3" xfId="0" applyNumberFormat="1" applyFont="1" applyFill="1" applyBorder="1" applyAlignment="1">
      <alignment horizontal="center" vertical="center"/>
    </xf>
    <xf numFmtId="0" fontId="24" fillId="31" borderId="1" xfId="0" applyFont="1" applyFill="1" applyBorder="1" applyAlignment="1">
      <alignment horizontal="center" vertical="center"/>
    </xf>
    <xf numFmtId="164" fontId="24" fillId="31" borderId="1" xfId="0" applyNumberFormat="1" applyFont="1" applyFill="1" applyBorder="1" applyAlignment="1">
      <alignment horizontal="center" vertical="center"/>
    </xf>
    <xf numFmtId="166" fontId="24" fillId="31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165" fontId="24" fillId="31" borderId="1" xfId="0" applyNumberFormat="1" applyFont="1" applyFill="1" applyBorder="1" applyAlignment="1">
      <alignment horizontal="center" vertical="center"/>
    </xf>
    <xf numFmtId="166" fontId="26" fillId="0" borderId="1" xfId="0" applyNumberFormat="1" applyFont="1" applyBorder="1" applyAlignment="1">
      <alignment horizontal="center" vertical="center"/>
    </xf>
    <xf numFmtId="0" fontId="0" fillId="31" borderId="2" xfId="0" applyFill="1" applyBorder="1" applyAlignment="1">
      <alignment horizontal="center" vertical="center"/>
    </xf>
    <xf numFmtId="14" fontId="0" fillId="31" borderId="1" xfId="0" applyNumberFormat="1" applyFill="1" applyBorder="1" applyAlignment="1">
      <alignment horizontal="center" vertical="center"/>
    </xf>
    <xf numFmtId="0" fontId="0" fillId="31" borderId="1" xfId="0" applyFill="1" applyBorder="1" applyAlignment="1">
      <alignment horizontal="center" vertical="center"/>
    </xf>
    <xf numFmtId="164" fontId="0" fillId="31" borderId="6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3" fillId="15" borderId="0" xfId="0" applyFont="1" applyFill="1" applyAlignment="1">
      <alignment horizontal="left" vertical="center"/>
    </xf>
    <xf numFmtId="164" fontId="53" fillId="15" borderId="0" xfId="0" applyNumberFormat="1" applyFont="1" applyFill="1" applyAlignment="1">
      <alignment horizontal="center" vertical="center"/>
    </xf>
    <xf numFmtId="0" fontId="0" fillId="32" borderId="0" xfId="0" applyFill="1"/>
    <xf numFmtId="0" fontId="54" fillId="32" borderId="0" xfId="0" applyFont="1" applyFill="1"/>
    <xf numFmtId="9" fontId="53" fillId="32" borderId="0" xfId="0" applyNumberFormat="1" applyFont="1" applyFill="1" applyAlignment="1">
      <alignment horizontal="center" vertical="center"/>
    </xf>
    <xf numFmtId="0" fontId="53" fillId="32" borderId="0" xfId="0" applyFont="1" applyFill="1"/>
    <xf numFmtId="0" fontId="53" fillId="32" borderId="0" xfId="0" applyFont="1" applyFill="1" applyAlignment="1">
      <alignment horizontal="center" vertical="center"/>
    </xf>
    <xf numFmtId="164" fontId="53" fillId="32" borderId="0" xfId="0" applyNumberFormat="1" applyFont="1" applyFill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/>
    <xf numFmtId="0" fontId="0" fillId="0" borderId="0" xfId="0" applyAlignment="1">
      <alignment horizontal="center"/>
    </xf>
    <xf numFmtId="166" fontId="16" fillId="3" borderId="1" xfId="0" applyNumberFormat="1" applyFont="1" applyFill="1" applyBorder="1" applyAlignment="1">
      <alignment horizontal="left" vertical="center" indent="3"/>
    </xf>
    <xf numFmtId="166" fontId="52" fillId="0" borderId="1" xfId="0" applyNumberFormat="1" applyFont="1" applyBorder="1" applyAlignment="1">
      <alignment horizontal="left" indent="3"/>
    </xf>
    <xf numFmtId="166" fontId="52" fillId="0" borderId="3" xfId="0" applyNumberFormat="1" applyFont="1" applyBorder="1" applyAlignment="1">
      <alignment horizontal="left" indent="3"/>
    </xf>
    <xf numFmtId="166" fontId="18" fillId="0" borderId="0" xfId="0" applyNumberFormat="1" applyFont="1" applyAlignment="1">
      <alignment horizontal="left" indent="3"/>
    </xf>
    <xf numFmtId="164" fontId="18" fillId="0" borderId="1" xfId="0" applyNumberFormat="1" applyFont="1" applyBorder="1" applyAlignment="1">
      <alignment horizontal="left" indent="3"/>
    </xf>
    <xf numFmtId="0" fontId="16" fillId="33" borderId="0" xfId="0" applyFont="1" applyFill="1" applyAlignment="1">
      <alignment vertical="center"/>
    </xf>
    <xf numFmtId="0" fontId="50" fillId="0" borderId="0" xfId="0" applyFont="1"/>
    <xf numFmtId="164" fontId="50" fillId="0" borderId="0" xfId="0" applyNumberFormat="1" applyFont="1"/>
    <xf numFmtId="164" fontId="53" fillId="4" borderId="0" xfId="0" applyNumberFormat="1" applyFont="1" applyFill="1" applyAlignment="1">
      <alignment horizontal="center" vertical="center"/>
    </xf>
    <xf numFmtId="0" fontId="53" fillId="0" borderId="0" xfId="0" applyFont="1"/>
    <xf numFmtId="0" fontId="7" fillId="5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distributed"/>
    </xf>
    <xf numFmtId="0" fontId="17" fillId="8" borderId="4" xfId="0" applyFont="1" applyFill="1" applyBorder="1" applyAlignment="1">
      <alignment horizontal="center" vertical="distributed"/>
    </xf>
    <xf numFmtId="0" fontId="17" fillId="8" borderId="5" xfId="0" applyFont="1" applyFill="1" applyBorder="1" applyAlignment="1">
      <alignment horizontal="center" vertical="distributed"/>
    </xf>
    <xf numFmtId="165" fontId="7" fillId="3" borderId="8" xfId="0" applyNumberFormat="1" applyFont="1" applyFill="1" applyBorder="1" applyAlignment="1">
      <alignment horizontal="center" vertical="center"/>
    </xf>
    <xf numFmtId="165" fontId="7" fillId="3" borderId="9" xfId="0" applyNumberFormat="1" applyFont="1" applyFill="1" applyBorder="1" applyAlignment="1">
      <alignment horizontal="center" vertical="center"/>
    </xf>
    <xf numFmtId="165" fontId="7" fillId="3" borderId="11" xfId="0" applyNumberFormat="1" applyFont="1" applyFill="1" applyBorder="1" applyAlignment="1">
      <alignment horizontal="center" vertical="center"/>
    </xf>
    <xf numFmtId="165" fontId="7" fillId="3" borderId="12" xfId="0" applyNumberFormat="1" applyFont="1" applyFill="1" applyBorder="1" applyAlignment="1">
      <alignment horizontal="center" vertical="center"/>
    </xf>
    <xf numFmtId="49" fontId="29" fillId="3" borderId="8" xfId="0" applyNumberFormat="1" applyFont="1" applyFill="1" applyBorder="1" applyAlignment="1">
      <alignment horizontal="center" vertical="center"/>
    </xf>
    <xf numFmtId="49" fontId="29" fillId="3" borderId="10" xfId="0" applyNumberFormat="1" applyFont="1" applyFill="1" applyBorder="1" applyAlignment="1">
      <alignment horizontal="center" vertical="center"/>
    </xf>
    <xf numFmtId="49" fontId="29" fillId="3" borderId="9" xfId="0" applyNumberFormat="1" applyFont="1" applyFill="1" applyBorder="1" applyAlignment="1">
      <alignment horizontal="center" vertical="center"/>
    </xf>
    <xf numFmtId="49" fontId="29" fillId="3" borderId="11" xfId="0" applyNumberFormat="1" applyFont="1" applyFill="1" applyBorder="1" applyAlignment="1">
      <alignment horizontal="center" vertical="center"/>
    </xf>
    <xf numFmtId="49" fontId="29" fillId="3" borderId="13" xfId="0" applyNumberFormat="1" applyFont="1" applyFill="1" applyBorder="1" applyAlignment="1">
      <alignment horizontal="center" vertical="center"/>
    </xf>
    <xf numFmtId="49" fontId="29" fillId="3" borderId="12" xfId="0" applyNumberFormat="1" applyFont="1" applyFill="1" applyBorder="1" applyAlignment="1">
      <alignment horizontal="center" vertical="center"/>
    </xf>
    <xf numFmtId="164" fontId="26" fillId="8" borderId="6" xfId="0" applyNumberFormat="1" applyFont="1" applyFill="1" applyBorder="1" applyAlignment="1">
      <alignment horizontal="center" vertical="center"/>
    </xf>
    <xf numFmtId="164" fontId="26" fillId="8" borderId="7" xfId="0" applyNumberFormat="1" applyFont="1" applyFill="1" applyBorder="1" applyAlignment="1">
      <alignment horizontal="center" vertical="center"/>
    </xf>
    <xf numFmtId="164" fontId="26" fillId="8" borderId="2" xfId="0" applyNumberFormat="1" applyFont="1" applyFill="1" applyBorder="1" applyAlignment="1">
      <alignment horizontal="center" vertical="center"/>
    </xf>
    <xf numFmtId="164" fontId="26" fillId="8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2" fontId="16" fillId="17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16" borderId="3" xfId="0" applyFont="1" applyFill="1" applyBorder="1" applyAlignment="1">
      <alignment horizontal="center" vertical="center" wrapText="1"/>
    </xf>
    <xf numFmtId="0" fontId="8" fillId="16" borderId="4" xfId="0" applyFont="1" applyFill="1" applyBorder="1" applyAlignment="1">
      <alignment horizontal="center" vertical="center" wrapText="1"/>
    </xf>
    <xf numFmtId="0" fontId="8" fillId="16" borderId="5" xfId="0" applyFont="1" applyFill="1" applyBorder="1" applyAlignment="1">
      <alignment horizontal="center" vertical="center" wrapText="1"/>
    </xf>
    <xf numFmtId="164" fontId="8" fillId="16" borderId="6" xfId="0" applyNumberFormat="1" applyFont="1" applyFill="1" applyBorder="1" applyAlignment="1">
      <alignment horizontal="center" vertical="center"/>
    </xf>
    <xf numFmtId="164" fontId="8" fillId="16" borderId="2" xfId="0" applyNumberFormat="1" applyFont="1" applyFill="1" applyBorder="1" applyAlignment="1">
      <alignment horizontal="center" vertical="center"/>
    </xf>
    <xf numFmtId="0" fontId="8" fillId="16" borderId="6" xfId="0" applyFont="1" applyFill="1" applyBorder="1" applyAlignment="1">
      <alignment horizontal="center" vertical="center"/>
    </xf>
    <xf numFmtId="0" fontId="8" fillId="16" borderId="7" xfId="0" applyFont="1" applyFill="1" applyBorder="1" applyAlignment="1">
      <alignment horizontal="center" vertical="center"/>
    </xf>
    <xf numFmtId="0" fontId="8" fillId="16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0" fillId="0" borderId="6" xfId="0" applyNumberFormat="1" applyBorder="1" applyAlignment="1">
      <alignment horizontal="left" vertical="center"/>
    </xf>
    <xf numFmtId="166" fontId="0" fillId="0" borderId="7" xfId="0" applyNumberFormat="1" applyBorder="1" applyAlignment="1">
      <alignment horizontal="left" vertical="center"/>
    </xf>
    <xf numFmtId="166" fontId="0" fillId="0" borderId="2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88">
    <dxf>
      <alignment vertical="center"/>
    </dxf>
    <dxf>
      <alignment horizontal="center"/>
    </dxf>
    <dxf>
      <alignment vertical="center"/>
    </dxf>
    <dxf>
      <alignment horizontal="center"/>
    </dxf>
    <dxf>
      <alignment vertical="center"/>
    </dxf>
    <dxf>
      <alignment horizontal="center"/>
    </dxf>
    <dxf>
      <alignment vertical="center"/>
    </dxf>
    <dxf>
      <alignment horizontal="center"/>
    </dxf>
    <dxf>
      <alignment vertical="center"/>
    </dxf>
    <dxf>
      <alignment horizontal="center"/>
    </dxf>
    <dxf>
      <alignment vertical="center"/>
    </dxf>
    <dxf>
      <alignment horizontal="center"/>
    </dxf>
    <dxf>
      <numFmt numFmtId="0" formatCode="General"/>
      <alignment horizontal="center" vertical="center" textRotation="0" wrapText="0" relativeIndent="0" shrinkToFit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u val="none"/>
        <vertAlign val="baseline"/>
        <sz val="12"/>
        <color theme="1"/>
        <name val="Arial Nova"/>
        <scheme val="none"/>
      </font>
      <numFmt numFmtId="0" formatCode="General"/>
      <alignment horizontal="left" vertical="center" textRotation="0" wrapText="0" relativeIndent="0" shrinkToFit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u val="none"/>
        <vertAlign val="baseline"/>
        <sz val="12"/>
        <color theme="1"/>
        <name val="Arial Nova"/>
        <scheme val="none"/>
      </font>
      <fill>
        <patternFill patternType="solid">
          <fgColor indexed="65"/>
          <bgColor indexed="65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2"/>
        <color indexed="64"/>
        <name val="Calibri"/>
        <scheme val="minor"/>
      </font>
      <fill>
        <patternFill patternType="solid">
          <fgColor indexed="65"/>
          <bgColor indexed="65"/>
        </patternFill>
      </fill>
      <alignment horizontal="left" vertical="center" textRotation="0" wrapText="1" relativeIndent="0" shrinkToFit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u val="none"/>
        <vertAlign val="baseline"/>
        <sz val="12"/>
        <name val="Calibri"/>
        <scheme val="minor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u val="none"/>
        <vertAlign val="baseline"/>
        <sz val="12"/>
        <name val="Calibri"/>
        <scheme val="minor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u val="none"/>
        <vertAlign val="baseline"/>
        <sz val="12"/>
        <name val="Calibri"/>
        <scheme val="minor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u val="none"/>
        <vertAlign val="baseline"/>
        <sz val="12"/>
        <name val="Calibri"/>
        <scheme val="minor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u val="none"/>
        <vertAlign val="baseline"/>
        <sz val="12"/>
        <name val="Calibri"/>
        <scheme val="minor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u val="none"/>
        <vertAlign val="baseline"/>
        <sz val="12"/>
        <name val="Calibri"/>
        <scheme val="minor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u val="none"/>
        <vertAlign val="baseline"/>
        <sz val="12"/>
        <name val="Calibri"/>
        <scheme val="minor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u val="none"/>
        <vertAlign val="baseline"/>
        <sz val="12"/>
        <name val="Calibri"/>
        <scheme val="minor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u val="none"/>
        <vertAlign val="baseline"/>
        <sz val="12"/>
        <name val="Calibri"/>
        <scheme val="minor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2"/>
        <name val="Calibri"/>
        <scheme val="minor"/>
      </font>
      <fill>
        <patternFill patternType="none"/>
      </fill>
      <alignment vertical="bottom" textRotation="0" wrapText="0" relative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u val="none"/>
        <vertAlign val="baseline"/>
        <sz val="12"/>
        <name val="Calibri"/>
        <scheme val="minor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3" formatCode="0.000"/>
      <fill>
        <patternFill patternType="solid">
          <fgColor indexed="65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numFmt numFmtId="0" formatCode="General"/>
      <fill>
        <patternFill patternType="solid">
          <fgColor indexed="65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relativeIndent="0" shrinkToFit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relativeIndent="0" shrinkToFi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relativeIndent="0" shrinkToFi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relativeIndent="0" shrinkToFit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u val="none"/>
        <vertAlign val="baseline"/>
        <sz val="12"/>
        <color theme="1"/>
        <name val="Calibri"/>
        <scheme val="minor"/>
      </font>
      <numFmt numFmtId="166" formatCode="#,##0.00\ &quot;₽&quot;"/>
      <alignment horizontal="left" textRotation="0" wrapText="0" relativeIndent="1" justifyLastLine="0" shrinkToFi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u val="none"/>
        <vertAlign val="baseline"/>
        <sz val="12"/>
        <color theme="1"/>
        <name val="Calibri"/>
        <scheme val="minor"/>
      </font>
      <border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u val="none"/>
        <vertAlign val="baseline"/>
        <sz val="12"/>
        <color theme="1"/>
        <name val="Calibri"/>
        <scheme val="minor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relative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center" textRotation="0" wrapText="0" relativeIndent="0" shrinkToFit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relativeIndent="0" shrinkToFi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relativeIndent="0" shrinkToFi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relativeIndent="0" shrinkToFi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4" formatCode="#,##0\ &quot;₽&quot;"/>
      <alignment horizontal="center" vertical="center" textRotation="0" wrapText="0" relativeIndent="0" shrinkToFit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relativeIndent="0" shrinkToFi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relativeIndent="0" shrinkToFi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relativeIndent="0" shrinkToFit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2" formatCode="0.00"/>
      <fill>
        <patternFill patternType="solid">
          <fgColor indexed="65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2" formatCode="0.00"/>
      <fill>
        <patternFill patternType="solid">
          <fgColor indexed="65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u val="none"/>
        <vertAlign val="baseline"/>
        <sz val="11"/>
        <color theme="1"/>
        <name val="Arial Nova"/>
        <scheme val="none"/>
      </font>
      <numFmt numFmtId="166" formatCode="#,##0.00\ &quot;₽&quot;"/>
      <fill>
        <patternFill patternType="none"/>
      </fill>
      <alignment horizontal="center" vertical="center" textRotation="0" wrapText="0" relative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1"/>
        <color theme="1"/>
        <name val="Arial Nova"/>
        <scheme val="none"/>
      </font>
      <numFmt numFmtId="164" formatCode="#,##0\ &quot;₽&quot;"/>
      <fill>
        <patternFill patternType="none"/>
      </fill>
      <alignment horizontal="center" vertical="center" textRotation="0" wrapText="0" relative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1"/>
        <color theme="1"/>
        <name val="Arial Nova"/>
        <scheme val="none"/>
      </font>
      <fill>
        <patternFill patternType="none"/>
      </fill>
      <alignment horizontal="center" vertical="center" textRotation="0" wrapText="0" relative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u val="none"/>
        <vertAlign val="baseline"/>
        <sz val="11"/>
        <color theme="1"/>
        <name val="Arial Nova"/>
        <scheme val="none"/>
      </font>
      <fill>
        <patternFill patternType="none"/>
      </fill>
      <alignment horizontal="center" vertical="center" textRotation="0" wrapText="0" relative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1"/>
        <color theme="1"/>
        <name val="Arial Nova"/>
        <scheme val="none"/>
      </font>
      <numFmt numFmtId="19" formatCode="dd/mm/yyyy"/>
      <fill>
        <patternFill patternType="none"/>
      </fill>
      <alignment horizontal="center" vertical="center" textRotation="0" wrapText="0" relative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1"/>
        <color theme="1"/>
        <name val="Arial Nova"/>
        <scheme val="none"/>
      </font>
      <numFmt numFmtId="165" formatCode="[$-419]mmmm;@"/>
      <fill>
        <patternFill patternType="none"/>
      </fill>
      <alignment horizontal="center" vertical="center" textRotation="0" wrapText="0" relative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1"/>
        <color theme="1"/>
        <name val="Arial Nova"/>
        <scheme val="none"/>
      </font>
      <numFmt numFmtId="0" formatCode="General"/>
      <fill>
        <patternFill patternType="none"/>
      </fill>
      <alignment horizontal="center" vertical="center" textRotation="0" wrapText="0" relative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color theme="1" tint="0.14996795556505021"/>
      </font>
      <fill>
        <patternFill patternType="solid">
          <fgColor theme="9" tint="0.39994506668294322"/>
          <bgColor theme="9" tint="0.39994506668294322"/>
        </patternFill>
      </fill>
    </dxf>
    <dxf>
      <font>
        <b/>
      </font>
    </dxf>
    <dxf>
      <alignment horizontal="center"/>
    </dxf>
    <dxf>
      <alignment horizont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spc="100" baseline="0">
                <a:solidFill>
                  <a:schemeClr val="lt1">
                    <a:lumMod val="9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График Расходов Доходов</a:t>
            </a:r>
          </a:p>
        </c:rich>
      </c:tx>
      <c:overlay val="0"/>
      <c:spPr>
        <a:prstGeom prst="rect">
          <a:avLst/>
        </a:prstGeom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Расходы</c:v>
          </c:tx>
          <c:spPr>
            <a:prstGeom prst="rect">
              <a:avLst/>
            </a:prstGeom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('Баланс за текущий год'!$D$1,'Баланс за текущий год'!$F$1,'Баланс за текущий год'!$H$1,'Баланс за текущий год'!$J$1,'Баланс за текущий год'!$L$1,'Баланс за текущий год'!$N$1,'Баланс за текущий год'!$P$1,'Баланс за текущий год'!$R$1,'Баланс за текущий год'!$T$1,'Баланс за текущий год'!$V$1,'Баланс за текущий год'!$X$1,'Баланс за текущий год'!$Z$1)</c:f>
              <c:strCache>
                <c:ptCount val="12"/>
                <c:pt idx="0">
                  <c:v> Январь </c:v>
                </c:pt>
                <c:pt idx="1">
                  <c:v> Февраль </c:v>
                </c:pt>
                <c:pt idx="2">
                  <c:v> Март </c:v>
                </c:pt>
                <c:pt idx="3">
                  <c:v> Апрель </c:v>
                </c:pt>
                <c:pt idx="4">
                  <c:v> Май </c:v>
                </c:pt>
                <c:pt idx="5">
                  <c:v> Июнь </c:v>
                </c:pt>
                <c:pt idx="6">
                  <c:v> Июль </c:v>
                </c:pt>
                <c:pt idx="7">
                  <c:v> Август </c:v>
                </c:pt>
                <c:pt idx="8">
                  <c:v> Сентябрь </c:v>
                </c:pt>
                <c:pt idx="9">
                  <c:v> Октябрь </c:v>
                </c:pt>
                <c:pt idx="10">
                  <c:v> Ноябрь </c:v>
                </c:pt>
                <c:pt idx="11">
                  <c:v> Декабрь </c:v>
                </c:pt>
              </c:strCache>
            </c:strRef>
          </c:cat>
          <c:val>
            <c:numRef>
              <c:f>('Баланс за текущий год'!$D$15,'Баланс за текущий год'!$F$15,'Баланс за текущий год'!$H$15,'Баланс за текущий год'!$J$15,'Баланс за текущий год'!$L$15,'Баланс за текущий год'!$N$15,'Баланс за текущий год'!$P$15,'Баланс за текущий год'!$R$15,'Баланс за текущий год'!$T$15,'Баланс за текущий год'!$V$15,'Баланс за текущий год'!$X$15,'Баланс за текущий год'!$Z$15)</c:f>
              <c:numCache>
                <c:formatCode>_-* #\ ##0\ "₽"_-;\-* #\ ##0\ "₽"_-;_-* "-"??\ "₽"_-;_-@_-</c:formatCode>
                <c:ptCount val="12"/>
                <c:pt idx="0">
                  <c:v>28629</c:v>
                </c:pt>
                <c:pt idx="1">
                  <c:v>30019</c:v>
                </c:pt>
                <c:pt idx="2">
                  <c:v>29681</c:v>
                </c:pt>
                <c:pt idx="3">
                  <c:v>33278</c:v>
                </c:pt>
                <c:pt idx="4">
                  <c:v>33391</c:v>
                </c:pt>
                <c:pt idx="5">
                  <c:v>32256</c:v>
                </c:pt>
                <c:pt idx="6">
                  <c:v>63045</c:v>
                </c:pt>
                <c:pt idx="7">
                  <c:v>33280</c:v>
                </c:pt>
                <c:pt idx="8">
                  <c:v>36371</c:v>
                </c:pt>
                <c:pt idx="9">
                  <c:v>35686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8-4C05-A831-F4890A2722CB}"/>
            </c:ext>
          </c:extLst>
        </c:ser>
        <c:ser>
          <c:idx val="1"/>
          <c:order val="1"/>
          <c:tx>
            <c:v>Доходы</c:v>
          </c:tx>
          <c:spPr>
            <a:prstGeom prst="rect">
              <a:avLst/>
            </a:prstGeom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('Баланс за текущий год'!$D$1,'Баланс за текущий год'!$F$1,'Баланс за текущий год'!$H$1,'Баланс за текущий год'!$J$1,'Баланс за текущий год'!$L$1,'Баланс за текущий год'!$N$1,'Баланс за текущий год'!$P$1,'Баланс за текущий год'!$R$1,'Баланс за текущий год'!$T$1,'Баланс за текущий год'!$V$1,'Баланс за текущий год'!$X$1,'Баланс за текущий год'!$Z$1)</c:f>
              <c:strCache>
                <c:ptCount val="12"/>
                <c:pt idx="0">
                  <c:v> Январь </c:v>
                </c:pt>
                <c:pt idx="1">
                  <c:v> Февраль </c:v>
                </c:pt>
                <c:pt idx="2">
                  <c:v> Март </c:v>
                </c:pt>
                <c:pt idx="3">
                  <c:v> Апрель </c:v>
                </c:pt>
                <c:pt idx="4">
                  <c:v> Май </c:v>
                </c:pt>
                <c:pt idx="5">
                  <c:v> Июнь </c:v>
                </c:pt>
                <c:pt idx="6">
                  <c:v> Июль </c:v>
                </c:pt>
                <c:pt idx="7">
                  <c:v> Август </c:v>
                </c:pt>
                <c:pt idx="8">
                  <c:v> Сентябрь </c:v>
                </c:pt>
                <c:pt idx="9">
                  <c:v> Октябрь </c:v>
                </c:pt>
                <c:pt idx="10">
                  <c:v> Ноябрь </c:v>
                </c:pt>
                <c:pt idx="11">
                  <c:v> Декабрь </c:v>
                </c:pt>
              </c:strCache>
            </c:strRef>
          </c:cat>
          <c:val>
            <c:numRef>
              <c:f>('Баланс за текущий год'!$D$22,'Баланс за текущий год'!$F$22,'Баланс за текущий год'!$H$22,'Баланс за текущий год'!$J$22,'Баланс за текущий год'!$L$22,'Баланс за текущий год'!$N$22,'Баланс за текущий год'!$P$22,'Баланс за текущий год'!$R$22,'Баланс за текущий год'!$T$22,'Баланс за текущий год'!$V$22,'Баланс за текущий год'!$X$22,'Баланс за текущий год'!$Z$22)</c:f>
              <c:numCache>
                <c:formatCode>_-* #\ ##0\ "₽"_-;\-* #\ ##0\ "₽"_-;_-* "-"??\ "₽"_-;_-@_-</c:formatCode>
                <c:ptCount val="12"/>
                <c:pt idx="0">
                  <c:v>24090</c:v>
                </c:pt>
                <c:pt idx="1">
                  <c:v>56909</c:v>
                </c:pt>
                <c:pt idx="2">
                  <c:v>30944</c:v>
                </c:pt>
                <c:pt idx="3">
                  <c:v>36772</c:v>
                </c:pt>
                <c:pt idx="4">
                  <c:v>36984</c:v>
                </c:pt>
                <c:pt idx="5">
                  <c:v>35768</c:v>
                </c:pt>
                <c:pt idx="6">
                  <c:v>109272</c:v>
                </c:pt>
                <c:pt idx="7">
                  <c:v>51944</c:v>
                </c:pt>
                <c:pt idx="8">
                  <c:v>50195</c:v>
                </c:pt>
                <c:pt idx="9">
                  <c:v>26085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28-4C05-A831-F4890A2722CB}"/>
            </c:ext>
          </c:extLst>
        </c:ser>
        <c:ser>
          <c:idx val="2"/>
          <c:order val="2"/>
          <c:tx>
            <c:v>Сбережения</c:v>
          </c:tx>
          <c:spPr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('Баланс за текущий год'!$D$1,'Баланс за текущий год'!$F$1,'Баланс за текущий год'!$H$1,'Баланс за текущий год'!$J$1,'Баланс за текущий год'!$L$1,'Баланс за текущий год'!$N$1,'Баланс за текущий год'!$P$1,'Баланс за текущий год'!$R$1,'Баланс за текущий год'!$T$1,'Баланс за текущий год'!$V$1,'Баланс за текущий год'!$X$1,'Баланс за текущий год'!$Z$1)</c:f>
              <c:strCache>
                <c:ptCount val="12"/>
                <c:pt idx="0">
                  <c:v> Январь </c:v>
                </c:pt>
                <c:pt idx="1">
                  <c:v> Февраль </c:v>
                </c:pt>
                <c:pt idx="2">
                  <c:v> Март </c:v>
                </c:pt>
                <c:pt idx="3">
                  <c:v> Апрель </c:v>
                </c:pt>
                <c:pt idx="4">
                  <c:v> Май </c:v>
                </c:pt>
                <c:pt idx="5">
                  <c:v> Июнь </c:v>
                </c:pt>
                <c:pt idx="6">
                  <c:v> Июль </c:v>
                </c:pt>
                <c:pt idx="7">
                  <c:v> Август </c:v>
                </c:pt>
                <c:pt idx="8">
                  <c:v> Сентябрь </c:v>
                </c:pt>
                <c:pt idx="9">
                  <c:v> Октябрь </c:v>
                </c:pt>
                <c:pt idx="10">
                  <c:v> Ноябрь </c:v>
                </c:pt>
                <c:pt idx="11">
                  <c:v> Декабрь </c:v>
                </c:pt>
              </c:strCache>
            </c:strRef>
          </c:cat>
          <c:val>
            <c:numRef>
              <c:f>('Баланс за текущий год'!$D$32,'Баланс за текущий год'!$F$32,'Баланс за текущий год'!$H$32,'Баланс за текущий год'!$J$32,'Баланс за текущий год'!$L$32,'Баланс за текущий год'!$N$32,'Баланс за текущий год'!$P$32,'Баланс за текущий год'!$R$32,'Баланс за текущий год'!$T$32,'Баланс за текущий год'!$V$32,'Баланс за текущий год'!$X$32,'Баланс за текущий год'!$Z$32)</c:f>
              <c:numCache>
                <c:formatCode>_-* #\ ##0\ "₽"_-;\-* #\ ##0\ "₽"_-;_-* "-"??\ "₽"_-;_-@_-</c:formatCode>
                <c:ptCount val="12"/>
                <c:pt idx="0">
                  <c:v>5084</c:v>
                </c:pt>
                <c:pt idx="1">
                  <c:v>16000</c:v>
                </c:pt>
                <c:pt idx="2">
                  <c:v>2000</c:v>
                </c:pt>
                <c:pt idx="3">
                  <c:v>4320</c:v>
                </c:pt>
                <c:pt idx="4">
                  <c:v>3593</c:v>
                </c:pt>
                <c:pt idx="5">
                  <c:v>3512</c:v>
                </c:pt>
                <c:pt idx="6">
                  <c:v>21274</c:v>
                </c:pt>
                <c:pt idx="7">
                  <c:v>5180</c:v>
                </c:pt>
                <c:pt idx="8">
                  <c:v>6627</c:v>
                </c:pt>
                <c:pt idx="9">
                  <c:v>11700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28-4C05-A831-F4890A2722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34680664"/>
        <c:axId val="434683288"/>
      </c:barChart>
      <c:catAx>
        <c:axId val="434680664"/>
        <c:scaling>
          <c:orientation val="minMax"/>
        </c:scaling>
        <c:delete val="0"/>
        <c:axPos val="b"/>
        <c:majorGridlines>
          <c:spPr>
            <a:prstGeom prst="rect">
              <a:avLst/>
            </a:prstGeom>
            <a:ln w="9525" cap="flat" cmpd="sng" algn="ctr">
              <a:noFill/>
              <a:round/>
            </a:ln>
            <a:effectLst/>
          </c:spPr>
        </c:majorGridlines>
        <c:minorGridlines>
          <c:spPr>
            <a:prstGeom prst="rect">
              <a:avLst/>
            </a:prstGeom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numFmt formatCode="[$-419]mmmm;@" sourceLinked="0"/>
        <c:majorTickMark val="out"/>
        <c:minorTickMark val="none"/>
        <c:tickLblPos val="nextTo"/>
        <c:spPr>
          <a:prstGeom prst="rect">
            <a:avLst/>
          </a:prstGeom>
          <a:noFill/>
          <a:ln w="12700" cap="flat" cmpd="sng" algn="ctr">
            <a:noFill/>
            <a:round/>
          </a:ln>
          <a:effectLst/>
        </c:spPr>
        <c:txPr>
          <a:bodyPr rot="0" spcFirstLastPara="1" vertOverflow="ellipsis" wrap="square" anchor="t" anchorCtr="1"/>
          <a:lstStyle/>
          <a:p>
            <a:pPr>
              <a:defRPr sz="900" b="0" i="0" u="none" strike="noStrik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34683288"/>
        <c:crosses val="autoZero"/>
        <c:auto val="1"/>
        <c:lblAlgn val="ctr"/>
        <c:lblOffset val="12"/>
        <c:noMultiLvlLbl val="0"/>
      </c:catAx>
      <c:valAx>
        <c:axId val="434683288"/>
        <c:scaling>
          <c:orientation val="minMax"/>
        </c:scaling>
        <c:delete val="0"/>
        <c:axPos val="l"/>
        <c:majorGridlines>
          <c:spPr>
            <a:prstGeom prst="rect">
              <a:avLst/>
            </a:prstGeom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\ ##0\ &quot;₽&quot;" sourceLinked="0"/>
        <c:majorTickMark val="out"/>
        <c:minorTickMark val="out"/>
        <c:tickLblPos val="nextTo"/>
        <c:spPr>
          <a:prstGeom prst="rect">
            <a:avLst/>
          </a:prstGeom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34680664"/>
        <c:crosses val="autoZero"/>
        <c:crossBetween val="between"/>
        <c:majorUnit val="10000"/>
      </c:valAx>
      <c:spPr>
        <a:prstGeom prst="rect">
          <a:avLst/>
        </a:prstGeom>
        <a:noFill/>
        <a:ln>
          <a:noFill/>
        </a:ln>
        <a:effectLst/>
      </c:spPr>
    </c:plotArea>
    <c:legend>
      <c:legendPos val="b"/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xfrm>
      <a:off x="0" y="0"/>
      <a:ext cx="0" cy="0"/>
    </a:xfrm>
    <a:prstGeom prst="rect">
      <a:avLst/>
    </a:prstGeom>
    <a:gradFill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3353683605497"/>
          <c:y val="4.7038333978755793E-2"/>
          <c:w val="0.48208781507839049"/>
          <c:h val="0.8850174058297081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BC-4316-A0A4-2BD08F26F2CB}"/>
              </c:ext>
            </c:extLst>
          </c:dPt>
          <c:dPt>
            <c:idx val="1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4BC-4316-A0A4-2BD08F26F2CB}"/>
              </c:ext>
            </c:extLst>
          </c:dPt>
          <c:dPt>
            <c:idx val="2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4BC-4316-A0A4-2BD08F26F2CB}"/>
              </c:ext>
            </c:extLst>
          </c:dPt>
          <c:dPt>
            <c:idx val="3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4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BC-4316-A0A4-2BD08F26F2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prstGeom prst="rect">
                  <a:avLst/>
                </a:prstGeom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Активы!$C$25:$C$28</c:f>
              <c:strCache>
                <c:ptCount val="4"/>
                <c:pt idx="0">
                  <c:v>Цифровые, $</c:v>
                </c:pt>
                <c:pt idx="1">
                  <c:v>Российские, ₽</c:v>
                </c:pt>
                <c:pt idx="2">
                  <c:v>Зарубежные, $</c:v>
                </c:pt>
                <c:pt idx="3">
                  <c:v>ICN Holding, $</c:v>
                </c:pt>
              </c:strCache>
            </c:strRef>
          </c:cat>
          <c:val>
            <c:numRef>
              <c:f>Активы!$D$25:$D$28</c:f>
              <c:numCache>
                <c:formatCode>#\ ##0\ "₽"</c:formatCode>
                <c:ptCount val="4"/>
                <c:pt idx="0">
                  <c:v>89726.260000000009</c:v>
                </c:pt>
                <c:pt idx="1">
                  <c:v>16700</c:v>
                </c:pt>
                <c:pt idx="2">
                  <c:v>17255.05</c:v>
                </c:pt>
                <c:pt idx="3">
                  <c:v>19325.655999999999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4BC-4316-A0A4-2BD08F26F2CB}"/>
            </c:ext>
          </c:extLst>
        </c:ser>
        <c:ser>
          <c:idx val="1"/>
          <c:order val="1"/>
          <c:dPt>
            <c:idx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4BC-4316-A0A4-2BD08F26F2CB}"/>
              </c:ext>
            </c:extLst>
          </c:dPt>
          <c:dPt>
            <c:idx val="1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4BC-4316-A0A4-2BD08F26F2CB}"/>
              </c:ext>
            </c:extLst>
          </c:dPt>
          <c:dPt>
            <c:idx val="2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34BC-4316-A0A4-2BD08F26F2CB}"/>
              </c:ext>
            </c:extLst>
          </c:dPt>
          <c:dPt>
            <c:idx val="3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4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34BC-4316-A0A4-2BD08F26F2CB}"/>
              </c:ext>
            </c:extLst>
          </c:dPt>
          <c:dPt>
            <c:idx val="4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5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34BC-4316-A0A4-2BD08F26F2CB}"/>
              </c:ext>
            </c:extLst>
          </c:dPt>
          <c:dPt>
            <c:idx val="5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6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6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34BC-4316-A0A4-2BD08F26F2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prstGeom prst="rect">
                  <a:avLst/>
                </a:prstGeom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Активы!$C$25:$C$28</c:f>
              <c:strCache>
                <c:ptCount val="4"/>
                <c:pt idx="0">
                  <c:v>Цифровые, $</c:v>
                </c:pt>
                <c:pt idx="1">
                  <c:v>Российские, ₽</c:v>
                </c:pt>
                <c:pt idx="2">
                  <c:v>Зарубежные, $</c:v>
                </c:pt>
                <c:pt idx="3">
                  <c:v>ICN Holding, $</c:v>
                </c:pt>
              </c:strCache>
            </c:strRef>
          </c:cat>
          <c:val>
            <c:numRef>
              <c:f>Активы!$E$25:$E$30</c:f>
              <c:numCache>
                <c:formatCode>[$$-409]#\ ##0</c:formatCode>
                <c:ptCount val="6"/>
                <c:pt idx="0">
                  <c:v>1300</c:v>
                </c:pt>
                <c:pt idx="1">
                  <c:v>241.9581513817694</c:v>
                </c:pt>
                <c:pt idx="2">
                  <c:v>250</c:v>
                </c:pt>
                <c:pt idx="3">
                  <c:v>280</c:v>
                </c:pt>
                <c:pt idx="4">
                  <c:v>0</c:v>
                </c:pt>
                <c:pt idx="5">
                  <c:v>8.9249234282137682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4BC-4316-A0A4-2BD08F26F2C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prstGeom prst="rect">
          <a:avLst/>
        </a:prstGeom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2482778872419185"/>
          <c:y val="0.35568943441493972"/>
          <c:w val="0.18250184739228278"/>
          <c:h val="0.28862079449030209"/>
        </c:manualLayout>
      </c:layout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9408" cy="6065921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306916</xdr:colOff>
      <xdr:row>3</xdr:row>
      <xdr:rowOff>52915</xdr:rowOff>
    </xdr:from>
    <xdr:ext cx="2095500" cy="341841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 bwMode="auto">
        <a:xfrm>
          <a:off x="10615083" y="624415"/>
          <a:ext cx="2095500" cy="3418418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>
            <a:defRPr/>
          </a:pPr>
          <a:r>
            <a:rPr lang="ru-RU" sz="1200" b="1"/>
            <a:t>Кризис начала 2022</a:t>
          </a:r>
          <a:r>
            <a:rPr lang="en-US" sz="1200" b="1"/>
            <a:t>.</a:t>
          </a:r>
          <a:endParaRPr lang="ru-RU" sz="1200" b="1"/>
        </a:p>
        <a:p>
          <a:pPr>
            <a:defRPr/>
          </a:pPr>
          <a:r>
            <a:rPr lang="ru-RU" sz="1100" b="1"/>
            <a:t>АМЕРИКА</a:t>
          </a:r>
          <a:endParaRPr/>
        </a:p>
        <a:p>
          <a:pPr>
            <a:defRPr/>
          </a:pPr>
          <a:r>
            <a:rPr lang="ru-RU" sz="1100"/>
            <a:t>Мысли для сохранения ДС </a:t>
          </a:r>
          <a:endParaRPr/>
        </a:p>
        <a:p>
          <a:pPr>
            <a:defRPr/>
          </a:pPr>
          <a:r>
            <a:rPr lang="ru-RU" sz="1100"/>
            <a:t>Энергоносители</a:t>
          </a:r>
          <a:endParaRPr/>
        </a:p>
        <a:p>
          <a:pPr>
            <a:defRPr/>
          </a:pPr>
          <a:r>
            <a:rPr lang="ru-RU" sz="1100"/>
            <a:t>Нефть, металлы</a:t>
          </a:r>
          <a:endParaRPr/>
        </a:p>
        <a:p>
          <a:pPr>
            <a:defRPr/>
          </a:pPr>
          <a:r>
            <a:rPr lang="ru-RU" sz="1100"/>
            <a:t>Товарка</a:t>
          </a:r>
          <a:endParaRPr/>
        </a:p>
        <a:p>
          <a:pPr>
            <a:defRPr/>
          </a:pPr>
          <a:r>
            <a:rPr lang="ru-RU" sz="1100"/>
            <a:t>Промышленность, реальный сектор </a:t>
          </a:r>
          <a:endParaRPr/>
        </a:p>
        <a:p>
          <a:pPr>
            <a:defRPr/>
          </a:pPr>
          <a:r>
            <a:rPr lang="ru-RU" sz="1100" b="1"/>
            <a:t>РФ</a:t>
          </a:r>
          <a:endParaRPr/>
        </a:p>
        <a:p>
          <a:pPr>
            <a:defRPr/>
          </a:pPr>
          <a:r>
            <a:rPr lang="ru-RU" sz="1100"/>
            <a:t>Уран, палладий, золотодобывающие компании</a:t>
          </a:r>
          <a:endParaRPr/>
        </a:p>
        <a:p>
          <a:pPr>
            <a:defRPr/>
          </a:pPr>
          <a:r>
            <a:rPr lang="ru-RU" sz="1100"/>
            <a:t>Металлы, нефть</a:t>
          </a:r>
          <a:endParaRPr/>
        </a:p>
        <a:p>
          <a:pPr>
            <a:defRPr/>
          </a:pPr>
          <a:r>
            <a:rPr lang="ru-RU" sz="1100"/>
            <a:t>Ближайшие 1-2 года (Нефть+металлы) </a:t>
          </a:r>
          <a:endParaRPr/>
        </a:p>
        <a:p>
          <a:pPr>
            <a:defRPr/>
          </a:pPr>
          <a:r>
            <a:rPr lang="ru-RU" sz="1100"/>
            <a:t>Норникель, НЛМК, Газпром, Лукойл, Роснефть, Сбер</a:t>
          </a:r>
        </a:p>
      </xdr:txBody>
    </xdr:sp>
    <xdr:clientData/>
  </xdr:oneCellAnchor>
  <xdr:twoCellAnchor>
    <xdr:from>
      <xdr:col>7</xdr:col>
      <xdr:colOff>72838</xdr:colOff>
      <xdr:row>19</xdr:row>
      <xdr:rowOff>189877</xdr:rowOff>
    </xdr:from>
    <xdr:to>
      <xdr:col>14</xdr:col>
      <xdr:colOff>78441</xdr:colOff>
      <xdr:row>36</xdr:row>
      <xdr:rowOff>89646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Автор" id="{7936AC84-1F33-44B6-55CB-227434DC3A2A}" userId="" providerId="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irill Asmanov" refreshedDate="44933.733238541667" createdVersion="6" refreshedVersion="6" minRefreshableVersion="3" recordCount="1422" xr:uid="{00000000-000A-0000-FFFF-FFFF00000000}">
  <cacheSource type="worksheet">
    <worksheetSource name="Таблица8[]"/>
  </cacheSource>
  <cacheFields count="9">
    <cacheField name="Неделя" numFmtId="0">
      <sharedItems containsSemiMixedTypes="0" containsString="0" containsNumber="1" containsInteger="1" minValue="1" maxValue="53"/>
    </cacheField>
    <cacheField name="Месяц" numFmtId="165">
      <sharedItems containsBlank="1" count="26">
        <s v="1"/>
        <s v="2"/>
        <s v="3"/>
        <s v="4"/>
        <s v="5"/>
        <s v="6"/>
        <s v="7"/>
        <s v="8"/>
        <s v="9"/>
        <s v="10"/>
        <s v="11"/>
        <s v="12"/>
        <m u="1"/>
        <s v="апр" u="1"/>
        <s v="июл" u="1"/>
        <s v="май" u="1"/>
        <s v="июн" u="1"/>
        <e v="#VALUE!" u="1"/>
        <s v="мар" u="1"/>
        <s v="дек" u="1"/>
        <s v="окт" u="1"/>
        <s v="ноя" u="1"/>
        <s v="янв" u="1"/>
        <s v="фев" u="1"/>
        <s v="авг" u="1"/>
        <s v="сен" u="1"/>
      </sharedItems>
    </cacheField>
    <cacheField name="Дата" numFmtId="14">
      <sharedItems containsSemiMixedTypes="0" containsNonDate="0" containsDate="1" containsString="0" minDate="2022-01-01T00:00:00" maxDate="2023-01-07T00:00:00" count="369">
        <d v="2022-01-01T00:00:00"/>
        <d v="2022-01-02T00:00:00"/>
        <d v="2022-01-03T00:00:00"/>
        <d v="2022-01-04T00:00:00"/>
        <d v="2022-01-05T00:00:00"/>
        <d v="2022-01-06T00:00:00"/>
        <d v="2022-01-07T00:00:00"/>
        <d v="2022-01-08T00:00:00"/>
        <d v="2022-01-09T00:00:00"/>
        <d v="2022-01-10T00:00:00"/>
        <d v="2022-01-11T00:00:00"/>
        <d v="2022-01-12T00:00:00"/>
        <d v="2022-01-13T00:00:00"/>
        <d v="2022-01-14T00:00:00"/>
        <d v="2022-01-15T00:00:00"/>
        <d v="2022-01-16T00:00:00"/>
        <d v="2022-01-17T00:00:00"/>
        <d v="2022-01-18T00:00:00"/>
        <d v="2022-01-19T00:00:00"/>
        <d v="2022-01-20T00:00:00"/>
        <d v="2022-01-21T00:00:00"/>
        <d v="2022-01-22T00:00:00"/>
        <d v="2022-01-23T00:00:00"/>
        <d v="2022-01-24T00:00:00"/>
        <d v="2022-01-25T00:00:00"/>
        <d v="2022-01-26T00:00:00"/>
        <d v="2022-01-28T00:00:00"/>
        <d v="2022-01-29T00:00:00"/>
        <d v="2022-01-30T00:00:00"/>
        <d v="2022-01-31T00:00:00"/>
        <d v="2022-02-01T00:00:00"/>
        <d v="2022-02-02T00:00:00"/>
        <d v="2022-02-03T00:00:00"/>
        <d v="2022-02-04T00:00:00"/>
        <d v="2022-02-05T00:00:00"/>
        <d v="2022-02-06T00:00:00"/>
        <d v="2022-02-07T00:00:00"/>
        <d v="2022-02-08T00:00:00"/>
        <d v="2022-02-09T00:00:00"/>
        <d v="2022-02-10T00:00:00"/>
        <d v="2022-02-11T00:00:00"/>
        <d v="2022-02-12T00:00:00"/>
        <d v="2022-02-13T00:00:00"/>
        <d v="2022-02-14T00:00:00"/>
        <d v="2022-02-15T00:00:00"/>
        <d v="2022-02-16T00:00:00"/>
        <d v="2022-02-17T00:00:00"/>
        <d v="2022-02-18T00:00:00"/>
        <d v="2022-02-19T00:00:00"/>
        <d v="2022-02-20T00:00:00"/>
        <d v="2022-02-21T00:00:00"/>
        <d v="2022-02-22T00:00:00"/>
        <d v="2022-02-23T00:00:00"/>
        <d v="2022-02-24T00:00:00"/>
        <d v="2022-02-25T00:00:00"/>
        <d v="2022-02-27T00:00:00"/>
        <d v="2022-02-28T00:00:00"/>
        <d v="2022-03-01T00:00:00"/>
        <d v="2022-03-02T00:00:00"/>
        <d v="2022-03-03T00:00:00"/>
        <d v="2022-03-04T00:00:00"/>
        <d v="2022-03-05T00:00:00"/>
        <d v="2022-03-06T00:00:00"/>
        <d v="2022-03-07T00:00:00"/>
        <d v="2022-03-08T00:00:00"/>
        <d v="2022-03-09T00:00:00"/>
        <d v="2022-03-10T00:00:00"/>
        <d v="2022-03-11T00:00:00"/>
        <d v="2022-03-12T00:00:00"/>
        <d v="2022-03-13T00:00:00"/>
        <d v="2022-03-14T00:00:00"/>
        <d v="2022-03-15T00:00:00"/>
        <d v="2022-03-16T00:00:00"/>
        <d v="2022-03-17T00:00:00"/>
        <d v="2022-03-18T00:00:00"/>
        <d v="2022-03-19T00:00:00"/>
        <d v="2022-03-20T00:00:00"/>
        <d v="2022-03-21T00:00:00"/>
        <d v="2022-03-22T00:00:00"/>
        <d v="2022-03-23T00:00:00"/>
        <d v="2022-03-24T00:00:00"/>
        <d v="2022-03-25T00:00:00"/>
        <d v="2022-03-26T00:00:00"/>
        <d v="2022-03-27T00:00:00"/>
        <d v="2022-03-28T00:00:00"/>
        <d v="2022-03-29T00:00:00"/>
        <d v="2022-03-30T00:00:00"/>
        <d v="2022-03-31T00:00:00"/>
        <d v="2022-04-01T00:00:00"/>
        <d v="2022-04-02T00:00:00"/>
        <d v="2022-04-03T00:00:00"/>
        <d v="2022-04-04T00:00:00"/>
        <d v="2022-04-05T00:00:00"/>
        <d v="2022-04-06T00:00:00"/>
        <d v="2022-04-07T00:00:00"/>
        <d v="2022-04-08T00:00:00"/>
        <d v="2022-04-09T00:00:00"/>
        <d v="2022-04-10T00:00:00"/>
        <d v="2022-04-11T00:00:00"/>
        <d v="2022-04-12T00:00:00"/>
        <d v="2022-04-13T00:00:00"/>
        <d v="2022-04-14T00:00:00"/>
        <d v="2022-04-15T00:00:00"/>
        <d v="2022-04-16T00:00:00"/>
        <d v="2022-04-17T00:00:00"/>
        <d v="2022-04-18T00:00:00"/>
        <d v="2022-04-19T00:00:00"/>
        <d v="2022-04-20T00:00:00"/>
        <d v="2022-04-21T00:00:00"/>
        <d v="2022-04-22T00:00:00"/>
        <d v="2022-04-23T00:00:00"/>
        <d v="2022-04-24T00:00:00"/>
        <d v="2022-04-25T00:00:00"/>
        <d v="2022-04-26T00:00:00"/>
        <d v="2022-04-27T00:00:00"/>
        <d v="2022-04-28T00:00:00"/>
        <d v="2022-04-29T00:00:00"/>
        <d v="2022-04-30T00:00:00"/>
        <d v="2022-05-01T00:00:00"/>
        <d v="2022-05-02T00:00:00"/>
        <d v="2022-05-03T00:00:00"/>
        <d v="2022-05-04T00:00:00"/>
        <d v="2022-05-05T00:00:00"/>
        <d v="2022-05-06T00:00:00"/>
        <d v="2022-05-07T00:00:00"/>
        <d v="2022-05-08T00:00:00"/>
        <d v="2022-05-09T00:00:00"/>
        <d v="2022-05-10T00:00:00"/>
        <d v="2022-05-11T00:00:00"/>
        <d v="2022-05-12T00:00:00"/>
        <d v="2022-05-13T00:00:00"/>
        <d v="2022-05-14T00:00:00"/>
        <d v="2022-05-15T00:00:00"/>
        <d v="2022-05-16T00:00:00"/>
        <d v="2022-05-17T00:00:00"/>
        <d v="2022-05-18T00:00:00"/>
        <d v="2022-05-19T00:00:00"/>
        <d v="2022-05-20T00:00:00"/>
        <d v="2022-05-21T00:00:00"/>
        <d v="2022-05-22T00:00:00"/>
        <d v="2022-05-23T00:00:00"/>
        <d v="2022-05-24T00:00:00"/>
        <d v="2022-05-25T00:00:00"/>
        <d v="2022-05-26T00:00:00"/>
        <d v="2022-05-27T00:00:00"/>
        <d v="2022-05-28T00:00:00"/>
        <d v="2022-05-29T00:00:00"/>
        <d v="2022-05-30T00:00:00"/>
        <d v="2022-05-31T00:00:00"/>
        <d v="2022-06-01T00:00:00"/>
        <d v="2022-06-02T00:00:00"/>
        <d v="2022-06-03T00:00:00"/>
        <d v="2022-06-04T00:00:00"/>
        <d v="2022-06-05T00:00:00"/>
        <d v="2022-06-06T00:00:00"/>
        <d v="2022-06-07T00:00:00"/>
        <d v="2022-06-08T00:00:00"/>
        <d v="2022-06-09T00:00:00"/>
        <d v="2022-06-10T00:00:00"/>
        <d v="2022-06-11T00:00:00"/>
        <d v="2022-06-12T00:00:00"/>
        <d v="2022-06-13T00:00:00"/>
        <d v="2022-06-14T00:00:00"/>
        <d v="2022-06-15T00:00:00"/>
        <d v="2022-06-16T00:00:00"/>
        <d v="2022-06-17T00:00:00"/>
        <d v="2022-06-18T00:00:00"/>
        <d v="2022-06-19T00:00:00"/>
        <d v="2022-06-20T00:00:00"/>
        <d v="2022-06-21T00:00:00"/>
        <d v="2022-06-22T00:00:00"/>
        <d v="2022-06-23T00:00:00"/>
        <d v="2022-06-24T00:00:00"/>
        <d v="2022-06-25T00:00:00"/>
        <d v="2022-06-26T00:00:00"/>
        <d v="2022-06-27T00:00:00"/>
        <d v="2022-06-28T00:00:00"/>
        <d v="2022-06-29T00:00:00"/>
        <d v="2022-06-30T00:00:00"/>
        <d v="2022-07-01T00:00:00"/>
        <d v="2022-07-02T00:00:00"/>
        <d v="2022-07-03T00:00:00"/>
        <d v="2022-07-04T00:00:00"/>
        <d v="2022-07-05T00:00:00"/>
        <d v="2022-07-06T00:00:00"/>
        <d v="2022-07-07T00:00:00"/>
        <d v="2022-07-08T00:00:00"/>
        <d v="2022-07-09T00:00:00"/>
        <d v="2022-07-10T00:00:00"/>
        <d v="2022-07-11T00:00:00"/>
        <d v="2022-07-12T00:00:00"/>
        <d v="2022-07-13T00:00:00"/>
        <d v="2022-07-14T00:00:00"/>
        <d v="2022-07-15T00:00:00"/>
        <d v="2022-07-16T00:00:00"/>
        <d v="2022-07-17T00:00:00"/>
        <d v="2022-07-18T00:00:00"/>
        <d v="2022-07-19T00:00:00"/>
        <d v="2022-07-20T00:00:00"/>
        <d v="2022-07-21T00:00:00"/>
        <d v="2022-07-22T00:00:00"/>
        <d v="2022-07-23T00:00:00"/>
        <d v="2022-07-24T00:00:00"/>
        <d v="2022-07-25T00:00:00"/>
        <d v="2022-07-26T00:00:00"/>
        <d v="2022-07-27T00:00:00"/>
        <d v="2022-07-28T00:00:00"/>
        <d v="2022-07-29T00:00:00"/>
        <d v="2022-07-30T00:00:00"/>
        <d v="2022-07-31T00:00:00"/>
        <d v="2022-08-01T00:00:00"/>
        <d v="2022-08-02T00:00:00"/>
        <d v="2022-08-03T00:00:00"/>
        <d v="2022-08-04T00:00:00"/>
        <d v="2022-08-05T00:00:00"/>
        <d v="2022-08-06T00:00:00"/>
        <d v="2022-08-07T00:00:00"/>
        <d v="2022-08-08T00:00:00"/>
        <d v="2022-08-09T00:00:00"/>
        <d v="2022-08-10T00:00:00"/>
        <d v="2022-08-11T00:00:00"/>
        <d v="2022-08-12T00:00:00"/>
        <d v="2022-08-13T00:00:00"/>
        <d v="2022-08-14T00:00:00"/>
        <d v="2022-08-15T00:00:00"/>
        <d v="2022-08-16T00:00:00"/>
        <d v="2022-08-17T00:00:00"/>
        <d v="2022-08-18T00:00:00"/>
        <d v="2022-08-19T00:00:00"/>
        <d v="2022-08-20T00:00:00"/>
        <d v="2022-08-21T00:00:00"/>
        <d v="2022-08-22T00:00:00"/>
        <d v="2022-08-23T00:00:00"/>
        <d v="2022-08-24T00:00:00"/>
        <d v="2022-08-25T00:00:00"/>
        <d v="2022-08-26T00:00:00"/>
        <d v="2022-08-27T00:00:00"/>
        <d v="2022-08-28T00:00:00"/>
        <d v="2022-08-29T00:00:00"/>
        <d v="2022-08-30T00:00:00"/>
        <d v="2022-08-31T00:00:00"/>
        <d v="2022-09-01T00:00:00"/>
        <d v="2022-09-02T00:00:00"/>
        <d v="2022-09-03T00:00:00"/>
        <d v="2022-09-04T00:00:00"/>
        <d v="2022-09-05T00:00:00"/>
        <d v="2022-09-06T00:00:00"/>
        <d v="2022-09-07T00:00:00"/>
        <d v="2022-09-08T00:00:00"/>
        <d v="2022-09-09T00:00:00"/>
        <d v="2022-09-10T00:00:00"/>
        <d v="2022-09-11T00:00:00"/>
        <d v="2022-09-12T00:00:00"/>
        <d v="2022-09-13T00:00:00"/>
        <d v="2022-09-14T00:00:00"/>
        <d v="2022-09-15T00:00:00"/>
        <d v="2022-09-16T00:00:00"/>
        <d v="2022-09-17T00:00:00"/>
        <d v="2022-09-18T00:00:00"/>
        <d v="2022-09-19T00:00:00"/>
        <d v="2022-09-20T00:00:00"/>
        <d v="2022-09-21T00:00:00"/>
        <d v="2022-09-22T00:00:00"/>
        <d v="2022-09-23T00:00:00"/>
        <d v="2022-09-24T00:00:00"/>
        <d v="2022-09-25T00:00:00"/>
        <d v="2022-09-26T00:00:00"/>
        <d v="2022-09-27T00:00:00"/>
        <d v="2022-09-28T00:00:00"/>
        <d v="2022-09-29T00:00:00"/>
        <d v="2022-09-30T00:00:00"/>
        <d v="2022-10-01T00:00:00"/>
        <d v="2022-10-02T00:00:00"/>
        <d v="2022-10-03T00:00:00"/>
        <d v="2022-10-04T00:00:00"/>
        <d v="2022-10-05T00:00:00"/>
        <d v="2022-10-06T00:00:00"/>
        <d v="2022-10-07T00:00:00"/>
        <d v="2022-10-08T00:00:00"/>
        <d v="2022-10-09T00:00:00"/>
        <d v="2022-10-10T00:00:00"/>
        <d v="2022-10-11T00:00:00"/>
        <d v="2022-10-12T00:00:00"/>
        <d v="2022-10-13T00:00:00"/>
        <d v="2022-10-14T00:00:00"/>
        <d v="2022-10-15T00:00:00"/>
        <d v="2022-10-16T00:00:00"/>
        <d v="2022-10-17T00:00:00"/>
        <d v="2022-10-18T00:00:00"/>
        <d v="2022-10-19T00:00:00"/>
        <d v="2022-10-20T00:00:00"/>
        <d v="2022-10-21T00:00:00"/>
        <d v="2022-10-22T00:00:00"/>
        <d v="2022-10-23T00:00:00"/>
        <d v="2022-10-24T00:00:00"/>
        <d v="2022-10-25T00:00:00"/>
        <d v="2022-10-26T00:00:00"/>
        <d v="2022-10-27T00:00:00"/>
        <d v="2022-10-28T00:00:00"/>
        <d v="2022-10-29T00:00:00"/>
        <d v="2022-10-30T00:00:00"/>
        <d v="2022-10-31T00:00:00"/>
        <d v="2022-11-01T00:00:00"/>
        <d v="2022-11-02T00:00:00"/>
        <d v="2022-11-03T00:00:00"/>
        <d v="2022-11-04T00:00:00"/>
        <d v="2022-11-05T00:00:00"/>
        <d v="2022-11-06T00:00:00"/>
        <d v="2022-11-07T00:00:00"/>
        <d v="2022-11-08T00:00:00"/>
        <d v="2022-11-09T00:00:00"/>
        <d v="2022-11-10T00:00:00"/>
        <d v="2022-11-11T00:00:00"/>
        <d v="2022-11-12T00:00:00"/>
        <d v="2022-11-13T00:00:00"/>
        <d v="2022-11-14T00:00:00"/>
        <d v="2022-11-15T00:00:00"/>
        <d v="2022-11-16T00:00:00"/>
        <d v="2022-11-17T00:00:00"/>
        <d v="2022-11-18T00:00:00"/>
        <d v="2022-11-19T00:00:00"/>
        <d v="2022-11-20T00:00:00"/>
        <d v="2022-11-21T00:00:00"/>
        <d v="2022-11-22T00:00:00"/>
        <d v="2022-11-23T00:00:00"/>
        <d v="2022-11-24T00:00:00"/>
        <d v="2022-11-25T00:00:00"/>
        <d v="2022-11-26T00:00:00"/>
        <d v="2022-11-27T00:00:00"/>
        <d v="2022-11-28T00:00:00"/>
        <d v="2022-11-29T00:00:00"/>
        <d v="2022-11-30T00:00:00"/>
        <d v="2022-12-01T00:00:00"/>
        <d v="2022-12-02T00:00:00"/>
        <d v="2022-12-03T00:00:00"/>
        <d v="2022-12-04T00:00:00"/>
        <d v="2022-12-05T00:00:00"/>
        <d v="2022-12-06T00:00:00"/>
        <d v="2022-12-07T00:00:00"/>
        <d v="2022-12-08T00:00:00"/>
        <d v="2022-12-09T00:00:00"/>
        <d v="2022-12-10T00:00:00"/>
        <d v="2022-12-11T00:00:00"/>
        <d v="2022-12-12T00:00:00"/>
        <d v="2022-12-13T00:00:00"/>
        <d v="2022-12-14T00:00:00"/>
        <d v="2022-12-15T00:00:00"/>
        <d v="2022-12-16T00:00:00"/>
        <d v="2022-12-17T00:00:00"/>
        <d v="2022-12-18T00:00:00"/>
        <d v="2022-12-19T00:00:00"/>
        <d v="2022-12-20T00:00:00"/>
        <d v="2022-12-21T00:00:00"/>
        <d v="2022-12-22T00:00:00"/>
        <d v="2022-12-23T00:00:00"/>
        <d v="2022-12-24T00:00:00"/>
        <d v="2022-12-25T00:00:00"/>
        <d v="2022-12-26T00:00:00"/>
        <d v="2022-12-27T00:00:00"/>
        <d v="2022-12-28T00:00:00"/>
        <d v="2022-12-29T00:00:00"/>
        <d v="2022-12-30T00:00:00"/>
        <d v="2022-12-31T00:00:00"/>
        <d v="2023-01-01T00:00:00"/>
        <d v="2023-01-02T00:00:00"/>
        <d v="2023-01-03T00:00:00"/>
        <d v="2023-01-04T00:00:00"/>
        <d v="2023-01-05T00:00:00"/>
        <d v="2023-01-06T00:00:00"/>
      </sharedItems>
      <fieldGroup par="8" base="2">
        <rangePr groupBy="months" startDate="2022-01-01T00:00:00" endDate="2023-01-07T00:00:00"/>
        <groupItems count="14">
          <s v="&lt;01.01.2022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7.01.2023"/>
        </groupItems>
      </fieldGroup>
    </cacheField>
    <cacheField name="Категории" numFmtId="0">
      <sharedItems containsBlank="1" count="13">
        <s v="Транспорт"/>
        <s v="Отдых"/>
        <s v="Цели"/>
        <s v="Еда вне дома"/>
        <s v="Продукты"/>
        <s v="Покупки"/>
        <s v="Благотворительность"/>
        <s v="Здоровье, красота, гигиена"/>
        <s v="Связь"/>
        <s v="Подарки"/>
        <s v="Образование"/>
        <m u="1"/>
        <s v="Дом" u="1"/>
      </sharedItems>
    </cacheField>
    <cacheField name="Подкатегории" numFmtId="0">
      <sharedItems containsBlank="1"/>
    </cacheField>
    <cacheField name="Сумма " numFmtId="164">
      <sharedItems containsSemiMixedTypes="0" containsString="0" containsNumber="1" containsInteger="1" minValue="2" maxValue="20000"/>
    </cacheField>
    <cacheField name="Комментарий" numFmtId="166">
      <sharedItems containsBlank="1" containsMixedTypes="1" containsNumber="1" containsInteger="1" minValue="300365" maxValue="300365"/>
    </cacheField>
    <cacheField name="Кварталы" numFmtId="0" databaseField="0">
      <fieldGroup base="2">
        <rangePr groupBy="quarters" startDate="2022-01-01T00:00:00" endDate="2023-01-07T00:00:00"/>
        <groupItems count="6">
          <s v="&lt;01.01.2022"/>
          <s v="Кв-л1"/>
          <s v="Кв-л2"/>
          <s v="Кв-л3"/>
          <s v="Кв-л4"/>
          <s v="&gt;07.01.2023"/>
        </groupItems>
      </fieldGroup>
    </cacheField>
    <cacheField name="Годы" numFmtId="0" databaseField="0">
      <fieldGroup base="2">
        <rangePr groupBy="years" startDate="2022-01-01T00:00:00" endDate="2023-01-07T00:00:00"/>
        <groupItems count="4">
          <s v="&lt;01.01.2022"/>
          <s v="2022"/>
          <s v="2023"/>
          <s v="&gt;07.01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irill Asmanov" refreshedDate="44936.911224305557" createdVersion="6" refreshedVersion="6" minRefreshableVersion="3" recordCount="59" xr:uid="{00000000-000A-0000-FFFF-FFFF01000000}">
  <cacheSource type="worksheet">
    <worksheetSource name="Таблица9[]"/>
  </cacheSource>
  <cacheFields count="6">
    <cacheField name="Месяц" numFmtId="0">
      <sharedItems count="23">
        <s v="1"/>
        <s v="2"/>
        <s v="3"/>
        <s v="4"/>
        <s v="5"/>
        <s v="6"/>
        <s v="7"/>
        <s v="8"/>
        <s v="9"/>
        <s v="10"/>
        <s v="11"/>
        <s v="12"/>
        <s v="апр" u="1"/>
        <s v="июл" u="1"/>
        <s v="май" u="1"/>
        <s v="июн" u="1"/>
        <s v="мар" u="1"/>
        <s v="окт" u="1"/>
        <s v="ноя" u="1"/>
        <s v="янв" u="1"/>
        <s v="фев" u="1"/>
        <s v="авг" u="1"/>
        <s v="сен" u="1"/>
      </sharedItems>
    </cacheField>
    <cacheField name="Дата" numFmtId="0">
      <sharedItems containsNonDate="0" containsDate="1" containsString="0" containsBlank="1" minDate="2022-01-15T00:00:00" maxDate="2023-01-11T00:00:00" count="45">
        <d v="2022-01-15T00:00:00"/>
        <d v="2022-01-28T00:00:00"/>
        <d v="2022-02-15T00:00:00"/>
        <d v="2022-02-28T00:00:00"/>
        <d v="2022-02-25T00:00:00"/>
        <d v="2022-02-16T00:00:00"/>
        <d v="2022-02-18T00:00:00"/>
        <d v="2022-03-15T00:00:00"/>
        <d v="2022-03-25T00:00:00"/>
        <d v="2022-03-26T00:00:00"/>
        <d v="2022-03-30T00:00:00"/>
        <d v="2022-04-15T00:00:00"/>
        <d v="2022-04-28T00:00:00"/>
        <d v="2022-04-20T00:00:00"/>
        <d v="2022-05-15T00:00:00"/>
        <d v="2022-05-28T00:00:00"/>
        <d v="2022-05-08T00:00:00"/>
        <d v="2022-05-20T00:00:00"/>
        <d v="2022-06-15T00:00:00"/>
        <d v="2022-06-28T00:00:00"/>
        <d v="2022-06-20T00:00:00"/>
        <d v="2022-06-30T00:00:00"/>
        <d v="2022-07-15T00:00:00"/>
        <d v="2022-07-30T00:00:00"/>
        <d v="2022-07-25T00:00:00"/>
        <d v="2022-08-15T00:00:00"/>
        <d v="2022-08-26T00:00:00"/>
        <d v="2022-08-30T00:00:00"/>
        <d v="2022-09-15T00:00:00"/>
        <d v="2022-09-26T00:00:00"/>
        <d v="2022-09-30T00:00:00"/>
        <d v="2022-10-15T00:00:00"/>
        <d v="2022-10-26T00:00:00"/>
        <d v="2022-10-28T00:00:00"/>
        <d v="2022-11-15T00:00:00"/>
        <d v="2022-11-28T00:00:00"/>
        <d v="2022-12-02T00:00:00"/>
        <d v="2022-12-07T00:00:00"/>
        <d v="2022-12-15T00:00:00"/>
        <d v="2022-12-23T00:00:00"/>
        <d v="2022-12-29T00:00:00"/>
        <d v="2022-12-30T00:00:00"/>
        <d v="2023-01-01T00:00:00"/>
        <d v="2023-01-10T00:00:00"/>
        <m/>
      </sharedItems>
      <fieldGroup par="5" base="1">
        <rangePr groupBy="months" startDate="2022-01-15T00:00:00" endDate="2023-01-11T00:00:00"/>
        <groupItems count="14">
          <s v="(пусто)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1.01.2023"/>
        </groupItems>
      </fieldGroup>
    </cacheField>
    <cacheField name="Доход от" numFmtId="0">
      <sharedItems containsBlank="1" count="8">
        <s v="Зарплата_1"/>
        <s v="Фриланс"/>
        <s v="Зарплата_2"/>
        <s v="Типография"/>
        <s v="Прочие поступления"/>
        <s v="Отпускные"/>
        <s v="Зарплата_3"/>
        <m/>
      </sharedItems>
    </cacheField>
    <cacheField name="Сумма" numFmtId="164">
      <sharedItems containsString="0" containsBlank="1" containsNumber="1" containsInteger="1" minValue="415" maxValue="64572"/>
    </cacheField>
    <cacheField name="Кварталы" numFmtId="0" databaseField="0">
      <fieldGroup base="1">
        <rangePr groupBy="quarters" startDate="2022-01-15T00:00:00" endDate="2023-01-11T00:00:00"/>
        <groupItems count="6">
          <s v="&lt;15.01.2022"/>
          <s v="Кв-л1"/>
          <s v="Кв-л2"/>
          <s v="Кв-л3"/>
          <s v="Кв-л4"/>
          <s v="&gt;11.01.2023"/>
        </groupItems>
      </fieldGroup>
    </cacheField>
    <cacheField name="Годы" numFmtId="0" databaseField="0">
      <fieldGroup base="1">
        <rangePr groupBy="years" startDate="2022-01-15T00:00:00" endDate="2023-01-11T00:00:00"/>
        <groupItems count="4">
          <s v="&lt;15.01.2022"/>
          <s v="2022"/>
          <s v="2023"/>
          <s v="&gt;11.01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22">
  <r>
    <n v="1"/>
    <x v="0"/>
    <x v="0"/>
    <x v="0"/>
    <s v="Такси"/>
    <n v="241"/>
    <m/>
  </r>
  <r>
    <n v="1"/>
    <x v="0"/>
    <x v="0"/>
    <x v="1"/>
    <s v="Алкоголь"/>
    <n v="1800"/>
    <s v="ещё 500 р Слава Майеру"/>
  </r>
  <r>
    <n v="1"/>
    <x v="0"/>
    <x v="0"/>
    <x v="2"/>
    <s v="365 дней (цель)"/>
    <n v="102"/>
    <m/>
  </r>
  <r>
    <n v="2"/>
    <x v="0"/>
    <x v="1"/>
    <x v="0"/>
    <s v="Автобус"/>
    <n v="112"/>
    <m/>
  </r>
  <r>
    <n v="2"/>
    <x v="0"/>
    <x v="1"/>
    <x v="3"/>
    <s v="Перекус"/>
    <n v="248"/>
    <m/>
  </r>
  <r>
    <n v="2"/>
    <x v="0"/>
    <x v="1"/>
    <x v="2"/>
    <s v="365 дней (цель)"/>
    <n v="103"/>
    <m/>
  </r>
  <r>
    <n v="2"/>
    <x v="0"/>
    <x v="2"/>
    <x v="2"/>
    <s v="Пополнение Инвест.Портфеля"/>
    <n v="450"/>
    <m/>
  </r>
  <r>
    <n v="2"/>
    <x v="0"/>
    <x v="2"/>
    <x v="2"/>
    <s v="365 дней (цель)"/>
    <n v="104"/>
    <m/>
  </r>
  <r>
    <n v="2"/>
    <x v="0"/>
    <x v="2"/>
    <x v="4"/>
    <s v="Еда"/>
    <n v="709"/>
    <m/>
  </r>
  <r>
    <n v="2"/>
    <x v="0"/>
    <x v="2"/>
    <x v="0"/>
    <s v="Автобус"/>
    <n v="56"/>
    <m/>
  </r>
  <r>
    <n v="2"/>
    <x v="0"/>
    <x v="2"/>
    <x v="0"/>
    <s v="Такси"/>
    <n v="223"/>
    <m/>
  </r>
  <r>
    <n v="2"/>
    <x v="0"/>
    <x v="2"/>
    <x v="3"/>
    <s v="Перекус"/>
    <n v="74"/>
    <m/>
  </r>
  <r>
    <n v="2"/>
    <x v="0"/>
    <x v="2"/>
    <x v="1"/>
    <s v="Алкоголь"/>
    <n v="150"/>
    <m/>
  </r>
  <r>
    <n v="2"/>
    <x v="0"/>
    <x v="3"/>
    <x v="2"/>
    <s v="365 дней (цель)"/>
    <n v="105"/>
    <m/>
  </r>
  <r>
    <n v="2"/>
    <x v="0"/>
    <x v="3"/>
    <x v="4"/>
    <s v="Еда"/>
    <n v="88"/>
    <m/>
  </r>
  <r>
    <n v="2"/>
    <x v="0"/>
    <x v="3"/>
    <x v="3"/>
    <s v="Фаст-Фуд"/>
    <n v="440"/>
    <m/>
  </r>
  <r>
    <n v="2"/>
    <x v="0"/>
    <x v="4"/>
    <x v="2"/>
    <s v="365 дней (цель)"/>
    <n v="106"/>
    <m/>
  </r>
  <r>
    <n v="2"/>
    <x v="0"/>
    <x v="4"/>
    <x v="1"/>
    <s v="Активный"/>
    <n v="258"/>
    <m/>
  </r>
  <r>
    <n v="2"/>
    <x v="0"/>
    <x v="4"/>
    <x v="0"/>
    <s v="Автобус"/>
    <n v="28"/>
    <m/>
  </r>
  <r>
    <n v="2"/>
    <x v="0"/>
    <x v="4"/>
    <x v="0"/>
    <s v="Такси"/>
    <n v="141"/>
    <m/>
  </r>
  <r>
    <n v="2"/>
    <x v="0"/>
    <x v="5"/>
    <x v="2"/>
    <s v="365 дней (цель)"/>
    <n v="107"/>
    <m/>
  </r>
  <r>
    <n v="2"/>
    <x v="0"/>
    <x v="5"/>
    <x v="5"/>
    <s v="Прочее"/>
    <n v="665"/>
    <m/>
  </r>
  <r>
    <n v="2"/>
    <x v="0"/>
    <x v="5"/>
    <x v="4"/>
    <s v="Еда"/>
    <n v="398"/>
    <m/>
  </r>
  <r>
    <n v="2"/>
    <x v="0"/>
    <x v="6"/>
    <x v="2"/>
    <s v="365 дней (цель)"/>
    <n v="108"/>
    <m/>
  </r>
  <r>
    <n v="2"/>
    <x v="0"/>
    <x v="7"/>
    <x v="2"/>
    <s v="Пополнение Инвест.Портфеля"/>
    <n v="100"/>
    <m/>
  </r>
  <r>
    <n v="2"/>
    <x v="0"/>
    <x v="7"/>
    <x v="2"/>
    <s v="Здоровье"/>
    <n v="100"/>
    <m/>
  </r>
  <r>
    <n v="2"/>
    <x v="0"/>
    <x v="7"/>
    <x v="4"/>
    <s v="Еда"/>
    <n v="898"/>
    <m/>
  </r>
  <r>
    <n v="2"/>
    <x v="0"/>
    <x v="7"/>
    <x v="6"/>
    <m/>
    <n v="20"/>
    <m/>
  </r>
  <r>
    <n v="3"/>
    <x v="0"/>
    <x v="8"/>
    <x v="2"/>
    <s v="365 дней (цель)"/>
    <n v="109"/>
    <m/>
  </r>
  <r>
    <n v="3"/>
    <x v="0"/>
    <x v="9"/>
    <x v="2"/>
    <s v="365 дней (цель)"/>
    <n v="111"/>
    <m/>
  </r>
  <r>
    <n v="3"/>
    <x v="0"/>
    <x v="9"/>
    <x v="2"/>
    <s v="Пополнение Инвест.Портфеля"/>
    <n v="150"/>
    <m/>
  </r>
  <r>
    <n v="3"/>
    <x v="0"/>
    <x v="9"/>
    <x v="2"/>
    <s v="Здоровье"/>
    <n v="28"/>
    <m/>
  </r>
  <r>
    <n v="3"/>
    <x v="0"/>
    <x v="9"/>
    <x v="3"/>
    <s v="Обед (работа)"/>
    <n v="127"/>
    <m/>
  </r>
  <r>
    <n v="3"/>
    <x v="0"/>
    <x v="9"/>
    <x v="0"/>
    <s v="Автобус"/>
    <n v="84"/>
    <m/>
  </r>
  <r>
    <n v="3"/>
    <x v="0"/>
    <x v="9"/>
    <x v="0"/>
    <s v="Такси"/>
    <n v="140"/>
    <m/>
  </r>
  <r>
    <n v="3"/>
    <x v="0"/>
    <x v="9"/>
    <x v="1"/>
    <s v="Кальянная"/>
    <n v="80"/>
    <m/>
  </r>
  <r>
    <n v="3"/>
    <x v="0"/>
    <x v="10"/>
    <x v="2"/>
    <s v="365 дней (цель)"/>
    <n v="112"/>
    <m/>
  </r>
  <r>
    <n v="3"/>
    <x v="0"/>
    <x v="10"/>
    <x v="3"/>
    <s v="Обед (работа)"/>
    <n v="120"/>
    <m/>
  </r>
  <r>
    <n v="3"/>
    <x v="0"/>
    <x v="10"/>
    <x v="5"/>
    <s v="Прочее"/>
    <n v="473"/>
    <s v="Наушники"/>
  </r>
  <r>
    <n v="3"/>
    <x v="0"/>
    <x v="10"/>
    <x v="3"/>
    <s v="Сладости"/>
    <n v="172"/>
    <m/>
  </r>
  <r>
    <n v="3"/>
    <x v="0"/>
    <x v="10"/>
    <x v="0"/>
    <s v="Автобус"/>
    <n v="28"/>
    <m/>
  </r>
  <r>
    <n v="3"/>
    <x v="0"/>
    <x v="10"/>
    <x v="0"/>
    <s v="Такси"/>
    <n v="162"/>
    <m/>
  </r>
  <r>
    <n v="3"/>
    <x v="0"/>
    <x v="11"/>
    <x v="2"/>
    <s v="365 дней (цель)"/>
    <n v="113"/>
    <m/>
  </r>
  <r>
    <n v="3"/>
    <x v="0"/>
    <x v="11"/>
    <x v="0"/>
    <s v="Такси"/>
    <n v="150"/>
    <m/>
  </r>
  <r>
    <n v="3"/>
    <x v="0"/>
    <x v="11"/>
    <x v="3"/>
    <s v="Обед (работа)"/>
    <n v="151"/>
    <m/>
  </r>
  <r>
    <n v="3"/>
    <x v="0"/>
    <x v="11"/>
    <x v="4"/>
    <s v="Еда"/>
    <n v="225"/>
    <m/>
  </r>
  <r>
    <n v="3"/>
    <x v="0"/>
    <x v="12"/>
    <x v="2"/>
    <s v="365 дней (цель)"/>
    <n v="114"/>
    <m/>
  </r>
  <r>
    <n v="3"/>
    <x v="0"/>
    <x v="12"/>
    <x v="3"/>
    <s v="Обед (работа)"/>
    <n v="132"/>
    <m/>
  </r>
  <r>
    <n v="3"/>
    <x v="0"/>
    <x v="12"/>
    <x v="4"/>
    <s v="Еда"/>
    <n v="44"/>
    <m/>
  </r>
  <r>
    <n v="3"/>
    <x v="0"/>
    <x v="12"/>
    <x v="3"/>
    <s v="Сладости"/>
    <n v="164"/>
    <m/>
  </r>
  <r>
    <n v="3"/>
    <x v="0"/>
    <x v="13"/>
    <x v="2"/>
    <s v="365 дней (цель)"/>
    <n v="115"/>
    <m/>
  </r>
  <r>
    <n v="3"/>
    <x v="0"/>
    <x v="13"/>
    <x v="3"/>
    <s v="Обед (работа)"/>
    <n v="120"/>
    <m/>
  </r>
  <r>
    <n v="3"/>
    <x v="0"/>
    <x v="13"/>
    <x v="4"/>
    <s v="Еда"/>
    <n v="224"/>
    <m/>
  </r>
  <r>
    <n v="3"/>
    <x v="0"/>
    <x v="13"/>
    <x v="2"/>
    <s v="Здоровье"/>
    <n v="47"/>
    <m/>
  </r>
  <r>
    <n v="3"/>
    <x v="0"/>
    <x v="13"/>
    <x v="2"/>
    <s v="Финансовая  подушка"/>
    <n v="100"/>
    <m/>
  </r>
  <r>
    <n v="3"/>
    <x v="0"/>
    <x v="13"/>
    <x v="7"/>
    <s v="Уход за собой"/>
    <n v="102"/>
    <m/>
  </r>
  <r>
    <n v="3"/>
    <x v="0"/>
    <x v="13"/>
    <x v="0"/>
    <s v="Автобус"/>
    <n v="28"/>
    <m/>
  </r>
  <r>
    <n v="3"/>
    <x v="0"/>
    <x v="14"/>
    <x v="2"/>
    <s v="365 дней (цель)"/>
    <n v="116"/>
    <m/>
  </r>
  <r>
    <n v="3"/>
    <x v="0"/>
    <x v="14"/>
    <x v="0"/>
    <s v="Автобус"/>
    <n v="84"/>
    <m/>
  </r>
  <r>
    <n v="3"/>
    <x v="0"/>
    <x v="14"/>
    <x v="4"/>
    <s v="Еда"/>
    <n v="211"/>
    <m/>
  </r>
  <r>
    <n v="3"/>
    <x v="0"/>
    <x v="14"/>
    <x v="3"/>
    <s v="Обед (работа)"/>
    <n v="86"/>
    <m/>
  </r>
  <r>
    <n v="3"/>
    <x v="0"/>
    <x v="14"/>
    <x v="2"/>
    <s v="Пополнение Цифрового.Портфеля"/>
    <n v="500"/>
    <m/>
  </r>
  <r>
    <n v="4"/>
    <x v="0"/>
    <x v="15"/>
    <x v="2"/>
    <s v="365 дней (цель)"/>
    <n v="117"/>
    <m/>
  </r>
  <r>
    <n v="4"/>
    <x v="0"/>
    <x v="15"/>
    <x v="4"/>
    <s v="Еда"/>
    <n v="575"/>
    <m/>
  </r>
  <r>
    <n v="4"/>
    <x v="0"/>
    <x v="15"/>
    <x v="0"/>
    <s v="Автобус"/>
    <n v="28"/>
    <m/>
  </r>
  <r>
    <n v="4"/>
    <x v="0"/>
    <x v="16"/>
    <x v="2"/>
    <s v="365 дней (цель)"/>
    <n v="118"/>
    <m/>
  </r>
  <r>
    <n v="4"/>
    <x v="0"/>
    <x v="16"/>
    <x v="0"/>
    <s v="Автобус"/>
    <n v="28"/>
    <m/>
  </r>
  <r>
    <n v="4"/>
    <x v="0"/>
    <x v="16"/>
    <x v="6"/>
    <m/>
    <n v="200"/>
    <m/>
  </r>
  <r>
    <n v="4"/>
    <x v="0"/>
    <x v="16"/>
    <x v="3"/>
    <s v="Обед (работа)"/>
    <n v="76"/>
    <m/>
  </r>
  <r>
    <n v="4"/>
    <x v="0"/>
    <x v="17"/>
    <x v="0"/>
    <s v="Автобус"/>
    <n v="88"/>
    <m/>
  </r>
  <r>
    <n v="4"/>
    <x v="0"/>
    <x v="17"/>
    <x v="3"/>
    <s v="Обед (работа)"/>
    <n v="128"/>
    <m/>
  </r>
  <r>
    <n v="4"/>
    <x v="0"/>
    <x v="17"/>
    <x v="2"/>
    <s v="Пополнение Инвест.Портфеля"/>
    <n v="100"/>
    <m/>
  </r>
  <r>
    <n v="4"/>
    <x v="0"/>
    <x v="17"/>
    <x v="2"/>
    <s v="Здоровье"/>
    <n v="100"/>
    <m/>
  </r>
  <r>
    <n v="4"/>
    <x v="0"/>
    <x v="17"/>
    <x v="2"/>
    <s v="365 дней (цель)"/>
    <n v="100"/>
    <m/>
  </r>
  <r>
    <n v="4"/>
    <x v="0"/>
    <x v="17"/>
    <x v="2"/>
    <s v="Пополнение Инвест.Портфеля"/>
    <n v="200"/>
    <m/>
  </r>
  <r>
    <n v="4"/>
    <x v="0"/>
    <x v="18"/>
    <x v="0"/>
    <s v="Автобус"/>
    <n v="28"/>
    <m/>
  </r>
  <r>
    <n v="4"/>
    <x v="0"/>
    <x v="18"/>
    <x v="3"/>
    <s v="Обед (работа)"/>
    <n v="73"/>
    <m/>
  </r>
  <r>
    <n v="4"/>
    <x v="0"/>
    <x v="18"/>
    <x v="1"/>
    <s v="Активный"/>
    <n v="340"/>
    <m/>
  </r>
  <r>
    <n v="4"/>
    <x v="0"/>
    <x v="18"/>
    <x v="2"/>
    <s v="365 дней (цель)"/>
    <n v="41"/>
    <m/>
  </r>
  <r>
    <n v="4"/>
    <x v="0"/>
    <x v="19"/>
    <x v="2"/>
    <s v="365 дней (цель)"/>
    <n v="121"/>
    <m/>
  </r>
  <r>
    <n v="4"/>
    <x v="0"/>
    <x v="19"/>
    <x v="3"/>
    <s v="Обед (работа)"/>
    <n v="51"/>
    <m/>
  </r>
  <r>
    <n v="4"/>
    <x v="0"/>
    <x v="19"/>
    <x v="4"/>
    <s v="Еда"/>
    <n v="370"/>
    <m/>
  </r>
  <r>
    <n v="4"/>
    <x v="0"/>
    <x v="19"/>
    <x v="5"/>
    <s v="Одежда"/>
    <n v="250"/>
    <m/>
  </r>
  <r>
    <n v="4"/>
    <x v="0"/>
    <x v="20"/>
    <x v="2"/>
    <s v="365 дней (цель)"/>
    <n v="15"/>
    <m/>
  </r>
  <r>
    <n v="4"/>
    <x v="0"/>
    <x v="20"/>
    <x v="3"/>
    <s v="Обед (работа)"/>
    <n v="40"/>
    <m/>
  </r>
  <r>
    <n v="4"/>
    <x v="0"/>
    <x v="20"/>
    <x v="4"/>
    <s v="Еда"/>
    <n v="39"/>
    <m/>
  </r>
  <r>
    <n v="4"/>
    <x v="0"/>
    <x v="20"/>
    <x v="8"/>
    <s v="Интернет"/>
    <n v="200"/>
    <m/>
  </r>
  <r>
    <n v="4"/>
    <x v="0"/>
    <x v="21"/>
    <x v="2"/>
    <s v="365 дней (цель)"/>
    <n v="22"/>
    <m/>
  </r>
  <r>
    <n v="4"/>
    <x v="0"/>
    <x v="21"/>
    <x v="0"/>
    <s v="Автобус"/>
    <n v="56"/>
    <m/>
  </r>
  <r>
    <n v="4"/>
    <x v="0"/>
    <x v="21"/>
    <x v="5"/>
    <s v="Одежда"/>
    <n v="1500"/>
    <s v="кэш взят с цели на год"/>
  </r>
  <r>
    <n v="5"/>
    <x v="0"/>
    <x v="22"/>
    <x v="2"/>
    <s v="365 дней (цель)"/>
    <n v="23"/>
    <m/>
  </r>
  <r>
    <n v="5"/>
    <x v="0"/>
    <x v="22"/>
    <x v="8"/>
    <s v="Мобил.инет"/>
    <n v="230"/>
    <m/>
  </r>
  <r>
    <n v="5"/>
    <x v="0"/>
    <x v="23"/>
    <x v="2"/>
    <s v="365 дней (цель)"/>
    <n v="10"/>
    <m/>
  </r>
  <r>
    <n v="5"/>
    <x v="0"/>
    <x v="23"/>
    <x v="3"/>
    <s v="Обед (работа)"/>
    <n v="177"/>
    <m/>
  </r>
  <r>
    <n v="5"/>
    <x v="0"/>
    <x v="23"/>
    <x v="4"/>
    <s v="Еда"/>
    <n v="144"/>
    <m/>
  </r>
  <r>
    <n v="5"/>
    <x v="0"/>
    <x v="24"/>
    <x v="3"/>
    <s v="Обед (работа)"/>
    <n v="101"/>
    <m/>
  </r>
  <r>
    <n v="5"/>
    <x v="0"/>
    <x v="24"/>
    <x v="0"/>
    <s v="Автобус"/>
    <n v="28"/>
    <m/>
  </r>
  <r>
    <n v="5"/>
    <x v="0"/>
    <x v="25"/>
    <x v="2"/>
    <s v="365 дней (цель)"/>
    <n v="10"/>
    <m/>
  </r>
  <r>
    <n v="5"/>
    <x v="0"/>
    <x v="25"/>
    <x v="3"/>
    <s v="Обед (работа)"/>
    <n v="51"/>
    <m/>
  </r>
  <r>
    <n v="5"/>
    <x v="0"/>
    <x v="25"/>
    <x v="4"/>
    <s v="Еда"/>
    <n v="103"/>
    <m/>
  </r>
  <r>
    <n v="5"/>
    <x v="0"/>
    <x v="26"/>
    <x v="3"/>
    <s v="Перекус"/>
    <n v="63"/>
    <m/>
  </r>
  <r>
    <n v="5"/>
    <x v="0"/>
    <x v="26"/>
    <x v="2"/>
    <s v="365 дней (цель)"/>
    <n v="395"/>
    <m/>
  </r>
  <r>
    <n v="5"/>
    <x v="0"/>
    <x v="26"/>
    <x v="0"/>
    <s v="Метро"/>
    <n v="32"/>
    <m/>
  </r>
  <r>
    <n v="5"/>
    <x v="0"/>
    <x v="26"/>
    <x v="2"/>
    <s v="Пополнение Инвест.Портфеля"/>
    <n v="500"/>
    <m/>
  </r>
  <r>
    <n v="5"/>
    <x v="0"/>
    <x v="26"/>
    <x v="5"/>
    <s v="Прочее"/>
    <n v="475"/>
    <s v="корм"/>
  </r>
  <r>
    <n v="5"/>
    <x v="0"/>
    <x v="26"/>
    <x v="3"/>
    <s v="Перекус"/>
    <n v="100"/>
    <m/>
  </r>
  <r>
    <n v="5"/>
    <x v="0"/>
    <x v="26"/>
    <x v="0"/>
    <s v="Автобус"/>
    <n v="28"/>
    <m/>
  </r>
  <r>
    <n v="5"/>
    <x v="0"/>
    <x v="27"/>
    <x v="2"/>
    <s v="365 дней (цель)"/>
    <n v="30"/>
    <m/>
  </r>
  <r>
    <n v="5"/>
    <x v="0"/>
    <x v="27"/>
    <x v="0"/>
    <s v="Такси"/>
    <n v="244"/>
    <m/>
  </r>
  <r>
    <n v="5"/>
    <x v="0"/>
    <x v="27"/>
    <x v="0"/>
    <s v="Автобус"/>
    <n v="28"/>
    <m/>
  </r>
  <r>
    <n v="5"/>
    <x v="0"/>
    <x v="27"/>
    <x v="3"/>
    <s v="Обед (работа)"/>
    <n v="111"/>
    <m/>
  </r>
  <r>
    <n v="5"/>
    <x v="0"/>
    <x v="27"/>
    <x v="4"/>
    <s v="Еда"/>
    <n v="285"/>
    <m/>
  </r>
  <r>
    <n v="6"/>
    <x v="0"/>
    <x v="28"/>
    <x v="7"/>
    <s v="Уход за собой"/>
    <n v="288"/>
    <m/>
  </r>
  <r>
    <n v="6"/>
    <x v="0"/>
    <x v="28"/>
    <x v="4"/>
    <s v="Еда"/>
    <n v="561"/>
    <m/>
  </r>
  <r>
    <n v="6"/>
    <x v="0"/>
    <x v="29"/>
    <x v="2"/>
    <s v="Пополнение Инвест.Портфеля"/>
    <n v="150"/>
    <m/>
  </r>
  <r>
    <n v="6"/>
    <x v="0"/>
    <x v="29"/>
    <x v="2"/>
    <s v="365 дней (цель)"/>
    <n v="32"/>
    <m/>
  </r>
  <r>
    <n v="6"/>
    <x v="0"/>
    <x v="29"/>
    <x v="0"/>
    <s v="Автобус"/>
    <n v="28"/>
    <m/>
  </r>
  <r>
    <n v="6"/>
    <x v="0"/>
    <x v="29"/>
    <x v="3"/>
    <s v="Перекус"/>
    <n v="183"/>
    <m/>
  </r>
  <r>
    <n v="6"/>
    <x v="0"/>
    <x v="29"/>
    <x v="3"/>
    <s v="Обед (работа)"/>
    <n v="144"/>
    <m/>
  </r>
  <r>
    <n v="6"/>
    <x v="1"/>
    <x v="30"/>
    <x v="2"/>
    <s v="365 дней (цель)"/>
    <n v="36"/>
    <s v="тинькофф"/>
  </r>
  <r>
    <n v="6"/>
    <x v="1"/>
    <x v="30"/>
    <x v="0"/>
    <s v="Такси"/>
    <n v="179"/>
    <m/>
  </r>
  <r>
    <n v="6"/>
    <x v="1"/>
    <x v="30"/>
    <x v="0"/>
    <s v="Автобус"/>
    <n v="28"/>
    <m/>
  </r>
  <r>
    <n v="6"/>
    <x v="1"/>
    <x v="30"/>
    <x v="3"/>
    <s v="Обед (работа)"/>
    <n v="140"/>
    <m/>
  </r>
  <r>
    <n v="6"/>
    <x v="1"/>
    <x v="30"/>
    <x v="7"/>
    <s v="Аптека"/>
    <n v="286"/>
    <m/>
  </r>
  <r>
    <n v="6"/>
    <x v="1"/>
    <x v="30"/>
    <x v="4"/>
    <s v="Еда"/>
    <n v="506"/>
    <m/>
  </r>
  <r>
    <n v="6"/>
    <x v="1"/>
    <x v="30"/>
    <x v="2"/>
    <s v="Пополнение Инвест.Портфеля"/>
    <n v="800"/>
    <m/>
  </r>
  <r>
    <n v="6"/>
    <x v="1"/>
    <x v="30"/>
    <x v="2"/>
    <s v="Здоровье"/>
    <n v="100"/>
    <m/>
  </r>
  <r>
    <n v="6"/>
    <x v="1"/>
    <x v="31"/>
    <x v="4"/>
    <s v="Еда"/>
    <n v="232"/>
    <m/>
  </r>
  <r>
    <n v="6"/>
    <x v="1"/>
    <x v="31"/>
    <x v="2"/>
    <s v="365 дней (цель)"/>
    <n v="38"/>
    <m/>
  </r>
  <r>
    <n v="6"/>
    <x v="1"/>
    <x v="32"/>
    <x v="4"/>
    <s v="Еда"/>
    <n v="60"/>
    <m/>
  </r>
  <r>
    <n v="6"/>
    <x v="1"/>
    <x v="32"/>
    <x v="3"/>
    <s v="Обед (работа)"/>
    <n v="160"/>
    <m/>
  </r>
  <r>
    <n v="6"/>
    <x v="1"/>
    <x v="32"/>
    <x v="0"/>
    <s v="Автобус"/>
    <n v="28"/>
    <m/>
  </r>
  <r>
    <n v="6"/>
    <x v="1"/>
    <x v="33"/>
    <x v="4"/>
    <s v="Еда"/>
    <n v="90"/>
    <m/>
  </r>
  <r>
    <n v="6"/>
    <x v="1"/>
    <x v="33"/>
    <x v="3"/>
    <s v="Обед (работа)"/>
    <n v="160"/>
    <m/>
  </r>
  <r>
    <n v="6"/>
    <x v="1"/>
    <x v="33"/>
    <x v="2"/>
    <s v="365 дней (цель)"/>
    <n v="66"/>
    <m/>
  </r>
  <r>
    <n v="6"/>
    <x v="1"/>
    <x v="34"/>
    <x v="2"/>
    <s v="365 дней (цель)"/>
    <n v="11"/>
    <m/>
  </r>
  <r>
    <n v="6"/>
    <x v="1"/>
    <x v="34"/>
    <x v="3"/>
    <s v="Обед (работа)"/>
    <n v="100"/>
    <m/>
  </r>
  <r>
    <n v="6"/>
    <x v="1"/>
    <x v="34"/>
    <x v="0"/>
    <s v="Автобус"/>
    <n v="28"/>
    <m/>
  </r>
  <r>
    <n v="6"/>
    <x v="1"/>
    <x v="34"/>
    <x v="4"/>
    <s v="Еда"/>
    <n v="189"/>
    <m/>
  </r>
  <r>
    <n v="7"/>
    <x v="1"/>
    <x v="35"/>
    <x v="2"/>
    <s v="365 дней (цель)"/>
    <n v="12"/>
    <m/>
  </r>
  <r>
    <n v="7"/>
    <x v="1"/>
    <x v="35"/>
    <x v="0"/>
    <s v="Автобус"/>
    <n v="28"/>
    <m/>
  </r>
  <r>
    <n v="7"/>
    <x v="1"/>
    <x v="35"/>
    <x v="5"/>
    <s v="Прочее"/>
    <n v="150"/>
    <s v="Год обслуживание"/>
  </r>
  <r>
    <n v="7"/>
    <x v="1"/>
    <x v="35"/>
    <x v="1"/>
    <s v="Кальянная"/>
    <n v="189"/>
    <m/>
  </r>
  <r>
    <n v="7"/>
    <x v="1"/>
    <x v="35"/>
    <x v="3"/>
    <s v="Сладости"/>
    <n v="110"/>
    <s v="300 инвест парт"/>
  </r>
  <r>
    <n v="7"/>
    <x v="1"/>
    <x v="35"/>
    <x v="5"/>
    <s v="Комп.игры"/>
    <n v="375"/>
    <n v="300365"/>
  </r>
  <r>
    <n v="7"/>
    <x v="1"/>
    <x v="36"/>
    <x v="0"/>
    <s v="Такси"/>
    <n v="194"/>
    <m/>
  </r>
  <r>
    <n v="7"/>
    <x v="1"/>
    <x v="36"/>
    <x v="0"/>
    <s v="Такси"/>
    <n v="103"/>
    <m/>
  </r>
  <r>
    <n v="7"/>
    <x v="1"/>
    <x v="36"/>
    <x v="0"/>
    <s v="Автобус"/>
    <n v="28"/>
    <m/>
  </r>
  <r>
    <n v="7"/>
    <x v="1"/>
    <x v="36"/>
    <x v="0"/>
    <s v="Межгород"/>
    <n v="260"/>
    <m/>
  </r>
  <r>
    <n v="7"/>
    <x v="1"/>
    <x v="36"/>
    <x v="3"/>
    <s v="Обед (работа)"/>
    <n v="101"/>
    <s v="300 инвест парт"/>
  </r>
  <r>
    <n v="7"/>
    <x v="1"/>
    <x v="37"/>
    <x v="0"/>
    <s v="Межгород"/>
    <n v="200"/>
    <m/>
  </r>
  <r>
    <n v="7"/>
    <x v="1"/>
    <x v="37"/>
    <x v="0"/>
    <s v="Автобус"/>
    <n v="28"/>
    <m/>
  </r>
  <r>
    <n v="7"/>
    <x v="1"/>
    <x v="38"/>
    <x v="3"/>
    <s v="Обед (работа)"/>
    <n v="156"/>
    <m/>
  </r>
  <r>
    <n v="7"/>
    <x v="1"/>
    <x v="38"/>
    <x v="4"/>
    <s v="Еда"/>
    <n v="640"/>
    <m/>
  </r>
  <r>
    <n v="7"/>
    <x v="1"/>
    <x v="39"/>
    <x v="2"/>
    <s v="365 дней (цель)"/>
    <n v="51"/>
    <m/>
  </r>
  <r>
    <n v="7"/>
    <x v="1"/>
    <x v="39"/>
    <x v="3"/>
    <s v="Обед (работа)"/>
    <n v="82"/>
    <m/>
  </r>
  <r>
    <n v="7"/>
    <x v="1"/>
    <x v="40"/>
    <x v="2"/>
    <s v="Пополнение Инвест.Портфеля"/>
    <n v="1000"/>
    <m/>
  </r>
  <r>
    <n v="7"/>
    <x v="1"/>
    <x v="40"/>
    <x v="0"/>
    <s v="Автобус"/>
    <n v="32"/>
    <m/>
  </r>
  <r>
    <n v="7"/>
    <x v="1"/>
    <x v="40"/>
    <x v="3"/>
    <s v="Обед (работа)"/>
    <n v="57"/>
    <m/>
  </r>
  <r>
    <n v="7"/>
    <x v="1"/>
    <x v="40"/>
    <x v="4"/>
    <s v="Еда"/>
    <n v="220"/>
    <m/>
  </r>
  <r>
    <n v="7"/>
    <x v="1"/>
    <x v="41"/>
    <x v="4"/>
    <s v="Еда"/>
    <n v="79"/>
    <m/>
  </r>
  <r>
    <n v="8"/>
    <x v="1"/>
    <x v="42"/>
    <x v="4"/>
    <s v="Еда"/>
    <n v="196"/>
    <m/>
  </r>
  <r>
    <n v="8"/>
    <x v="1"/>
    <x v="43"/>
    <x v="3"/>
    <s v="Обед (работа)"/>
    <n v="111"/>
    <m/>
  </r>
  <r>
    <n v="8"/>
    <x v="1"/>
    <x v="43"/>
    <x v="4"/>
    <s v="Еда"/>
    <n v="125"/>
    <m/>
  </r>
  <r>
    <n v="8"/>
    <x v="1"/>
    <x v="44"/>
    <x v="3"/>
    <s v="Обед (работа)"/>
    <n v="155"/>
    <m/>
  </r>
  <r>
    <n v="8"/>
    <x v="1"/>
    <x v="44"/>
    <x v="9"/>
    <s v="Работа"/>
    <n v="150"/>
    <m/>
  </r>
  <r>
    <n v="8"/>
    <x v="1"/>
    <x v="44"/>
    <x v="0"/>
    <s v="Автобус"/>
    <n v="32"/>
    <m/>
  </r>
  <r>
    <n v="8"/>
    <x v="1"/>
    <x v="44"/>
    <x v="0"/>
    <s v="Метро"/>
    <n v="32"/>
    <m/>
  </r>
  <r>
    <n v="8"/>
    <x v="1"/>
    <x v="44"/>
    <x v="3"/>
    <s v="Кофейня"/>
    <n v="50"/>
    <m/>
  </r>
  <r>
    <n v="8"/>
    <x v="1"/>
    <x v="45"/>
    <x v="2"/>
    <s v="Заначка"/>
    <n v="700"/>
    <m/>
  </r>
  <r>
    <n v="8"/>
    <x v="1"/>
    <x v="45"/>
    <x v="2"/>
    <s v="Пополнение Инвест.Портфеля"/>
    <n v="2300"/>
    <m/>
  </r>
  <r>
    <n v="8"/>
    <x v="1"/>
    <x v="45"/>
    <x v="2"/>
    <s v="Здоровье"/>
    <n v="300"/>
    <m/>
  </r>
  <r>
    <n v="8"/>
    <x v="1"/>
    <x v="45"/>
    <x v="2"/>
    <s v="Пополнение Цифрового.Портфеля"/>
    <n v="50"/>
    <m/>
  </r>
  <r>
    <n v="8"/>
    <x v="1"/>
    <x v="45"/>
    <x v="2"/>
    <s v="365 дней (цель)"/>
    <n v="250"/>
    <m/>
  </r>
  <r>
    <n v="8"/>
    <x v="1"/>
    <x v="45"/>
    <x v="7"/>
    <s v="Уход за собой"/>
    <n v="800"/>
    <m/>
  </r>
  <r>
    <n v="8"/>
    <x v="1"/>
    <x v="45"/>
    <x v="5"/>
    <s v="Прочее"/>
    <n v="542"/>
    <m/>
  </r>
  <r>
    <n v="8"/>
    <x v="1"/>
    <x v="45"/>
    <x v="4"/>
    <s v="Еда"/>
    <n v="704"/>
    <m/>
  </r>
  <r>
    <n v="8"/>
    <x v="1"/>
    <x v="45"/>
    <x v="10"/>
    <s v="Книги"/>
    <n v="792"/>
    <m/>
  </r>
  <r>
    <n v="8"/>
    <x v="1"/>
    <x v="45"/>
    <x v="3"/>
    <s v="Обед (работа)"/>
    <n v="220"/>
    <m/>
  </r>
  <r>
    <n v="8"/>
    <x v="1"/>
    <x v="46"/>
    <x v="6"/>
    <m/>
    <n v="200"/>
    <m/>
  </r>
  <r>
    <n v="8"/>
    <x v="1"/>
    <x v="46"/>
    <x v="8"/>
    <s v="Мобил.инет"/>
    <n v="100"/>
    <m/>
  </r>
  <r>
    <n v="8"/>
    <x v="1"/>
    <x v="46"/>
    <x v="3"/>
    <s v="Обед (работа)"/>
    <n v="160"/>
    <m/>
  </r>
  <r>
    <n v="8"/>
    <x v="1"/>
    <x v="46"/>
    <x v="4"/>
    <s v="Еда"/>
    <n v="479"/>
    <m/>
  </r>
  <r>
    <n v="8"/>
    <x v="1"/>
    <x v="46"/>
    <x v="7"/>
    <s v="Уход за собой"/>
    <n v="115"/>
    <m/>
  </r>
  <r>
    <n v="8"/>
    <x v="1"/>
    <x v="47"/>
    <x v="8"/>
    <s v="Мобил.инет"/>
    <n v="306"/>
    <m/>
  </r>
  <r>
    <n v="8"/>
    <x v="1"/>
    <x v="47"/>
    <x v="3"/>
    <s v="Фаст-Фуд"/>
    <n v="681"/>
    <m/>
  </r>
  <r>
    <n v="8"/>
    <x v="1"/>
    <x v="47"/>
    <x v="3"/>
    <s v="Обед (работа)"/>
    <n v="162"/>
    <m/>
  </r>
  <r>
    <n v="8"/>
    <x v="1"/>
    <x v="47"/>
    <x v="2"/>
    <s v="365 дней (цель)"/>
    <n v="182"/>
    <m/>
  </r>
  <r>
    <n v="8"/>
    <x v="1"/>
    <x v="48"/>
    <x v="3"/>
    <s v="Кофейня"/>
    <n v="200"/>
    <m/>
  </r>
  <r>
    <n v="8"/>
    <x v="1"/>
    <x v="48"/>
    <x v="4"/>
    <s v="Еда"/>
    <n v="221"/>
    <m/>
  </r>
  <r>
    <n v="9"/>
    <x v="1"/>
    <x v="49"/>
    <x v="4"/>
    <s v="Еда"/>
    <n v="50"/>
    <m/>
  </r>
  <r>
    <n v="9"/>
    <x v="1"/>
    <x v="49"/>
    <x v="3"/>
    <s v="Сладости"/>
    <n v="88"/>
    <m/>
  </r>
  <r>
    <n v="9"/>
    <x v="1"/>
    <x v="50"/>
    <x v="2"/>
    <s v="Пополнение Инвест.Портфеля"/>
    <n v="700"/>
    <m/>
  </r>
  <r>
    <n v="9"/>
    <x v="1"/>
    <x v="50"/>
    <x v="3"/>
    <s v="Обед (работа)"/>
    <n v="122"/>
    <m/>
  </r>
  <r>
    <n v="9"/>
    <x v="1"/>
    <x v="50"/>
    <x v="5"/>
    <s v="Прочее"/>
    <n v="220"/>
    <m/>
  </r>
  <r>
    <n v="9"/>
    <x v="1"/>
    <x v="50"/>
    <x v="4"/>
    <s v="Еда"/>
    <n v="310"/>
    <m/>
  </r>
  <r>
    <n v="9"/>
    <x v="1"/>
    <x v="50"/>
    <x v="2"/>
    <s v="365 дней (цель)"/>
    <n v="60"/>
    <m/>
  </r>
  <r>
    <n v="9"/>
    <x v="1"/>
    <x v="50"/>
    <x v="2"/>
    <s v="Здоровье"/>
    <n v="100"/>
    <m/>
  </r>
  <r>
    <n v="9"/>
    <x v="1"/>
    <x v="51"/>
    <x v="2"/>
    <s v="Пополнение Инвест.Портфеля"/>
    <n v="100"/>
    <m/>
  </r>
  <r>
    <n v="9"/>
    <x v="1"/>
    <x v="51"/>
    <x v="3"/>
    <s v="Обед (работа)"/>
    <n v="180"/>
    <m/>
  </r>
  <r>
    <n v="9"/>
    <x v="1"/>
    <x v="51"/>
    <x v="0"/>
    <s v="Такси"/>
    <n v="703"/>
    <m/>
  </r>
  <r>
    <n v="9"/>
    <x v="1"/>
    <x v="51"/>
    <x v="3"/>
    <s v="Фаст-Фуд"/>
    <n v="1489"/>
    <m/>
  </r>
  <r>
    <n v="9"/>
    <x v="1"/>
    <x v="52"/>
    <x v="8"/>
    <s v="Мобил.инет"/>
    <n v="230"/>
    <m/>
  </r>
  <r>
    <n v="9"/>
    <x v="1"/>
    <x v="52"/>
    <x v="4"/>
    <s v="Еда"/>
    <n v="226"/>
    <m/>
  </r>
  <r>
    <n v="9"/>
    <x v="1"/>
    <x v="52"/>
    <x v="1"/>
    <s v="Алкоголь"/>
    <n v="220"/>
    <m/>
  </r>
  <r>
    <n v="9"/>
    <x v="1"/>
    <x v="53"/>
    <x v="2"/>
    <s v="Пополнение Инвест.Портфеля"/>
    <n v="300"/>
    <m/>
  </r>
  <r>
    <n v="9"/>
    <x v="1"/>
    <x v="53"/>
    <x v="0"/>
    <s v="Автобус"/>
    <n v="96"/>
    <m/>
  </r>
  <r>
    <n v="9"/>
    <x v="1"/>
    <x v="53"/>
    <x v="3"/>
    <s v="Кофейня"/>
    <n v="120"/>
    <m/>
  </r>
  <r>
    <n v="9"/>
    <x v="1"/>
    <x v="53"/>
    <x v="3"/>
    <s v="Обед (работа)"/>
    <n v="133"/>
    <m/>
  </r>
  <r>
    <n v="9"/>
    <x v="1"/>
    <x v="54"/>
    <x v="3"/>
    <s v="Обед (работа)"/>
    <n v="410"/>
    <m/>
  </r>
  <r>
    <n v="9"/>
    <x v="1"/>
    <x v="54"/>
    <x v="9"/>
    <s v="Работа"/>
    <n v="100"/>
    <m/>
  </r>
  <r>
    <n v="9"/>
    <x v="1"/>
    <x v="54"/>
    <x v="4"/>
    <s v="Еда"/>
    <n v="485"/>
    <m/>
  </r>
  <r>
    <n v="10"/>
    <x v="1"/>
    <x v="55"/>
    <x v="2"/>
    <s v="365 дней (цель)"/>
    <n v="28"/>
    <m/>
  </r>
  <r>
    <n v="10"/>
    <x v="1"/>
    <x v="55"/>
    <x v="4"/>
    <s v="Еда"/>
    <n v="105"/>
    <m/>
  </r>
  <r>
    <n v="10"/>
    <x v="1"/>
    <x v="55"/>
    <x v="0"/>
    <s v="Автобус"/>
    <n v="64"/>
    <m/>
  </r>
  <r>
    <n v="10"/>
    <x v="1"/>
    <x v="56"/>
    <x v="2"/>
    <s v="Пополнение Инвест.Портфеля"/>
    <n v="300"/>
    <m/>
  </r>
  <r>
    <n v="10"/>
    <x v="1"/>
    <x v="56"/>
    <x v="2"/>
    <s v="Заначка"/>
    <n v="100"/>
    <m/>
  </r>
  <r>
    <n v="10"/>
    <x v="1"/>
    <x v="56"/>
    <x v="2"/>
    <s v="Здоровье"/>
    <n v="50"/>
    <m/>
  </r>
  <r>
    <n v="10"/>
    <x v="1"/>
    <x v="56"/>
    <x v="2"/>
    <s v="365 дней (цель)"/>
    <n v="602"/>
    <m/>
  </r>
  <r>
    <n v="10"/>
    <x v="1"/>
    <x v="56"/>
    <x v="4"/>
    <s v="Еда"/>
    <n v="502"/>
    <m/>
  </r>
  <r>
    <n v="10"/>
    <x v="1"/>
    <x v="56"/>
    <x v="3"/>
    <s v="Обед (работа)"/>
    <n v="146"/>
    <m/>
  </r>
  <r>
    <n v="10"/>
    <x v="1"/>
    <x v="56"/>
    <x v="5"/>
    <s v="Прочее"/>
    <n v="950"/>
    <m/>
  </r>
  <r>
    <n v="10"/>
    <x v="1"/>
    <x v="56"/>
    <x v="9"/>
    <s v="Работа"/>
    <n v="100"/>
    <m/>
  </r>
  <r>
    <n v="10"/>
    <x v="1"/>
    <x v="56"/>
    <x v="8"/>
    <s v="Интернет"/>
    <n v="200"/>
    <m/>
  </r>
  <r>
    <n v="10"/>
    <x v="1"/>
    <x v="56"/>
    <x v="7"/>
    <s v="Уход за собой"/>
    <n v="175"/>
    <m/>
  </r>
  <r>
    <n v="10"/>
    <x v="2"/>
    <x v="57"/>
    <x v="2"/>
    <s v="365 дней (цель)"/>
    <n v="40"/>
    <m/>
  </r>
  <r>
    <n v="10"/>
    <x v="2"/>
    <x v="57"/>
    <x v="3"/>
    <s v="Обед (работа)"/>
    <n v="143"/>
    <m/>
  </r>
  <r>
    <n v="10"/>
    <x v="2"/>
    <x v="57"/>
    <x v="5"/>
    <s v="Прочее"/>
    <n v="400"/>
    <m/>
  </r>
  <r>
    <n v="10"/>
    <x v="2"/>
    <x v="57"/>
    <x v="4"/>
    <s v="Еда"/>
    <n v="44"/>
    <m/>
  </r>
  <r>
    <n v="10"/>
    <x v="2"/>
    <x v="58"/>
    <x v="2"/>
    <s v="365 дней (цель)"/>
    <n v="41"/>
    <m/>
  </r>
  <r>
    <n v="10"/>
    <x v="2"/>
    <x v="58"/>
    <x v="3"/>
    <s v="Обед (работа)"/>
    <n v="160"/>
    <m/>
  </r>
  <r>
    <n v="10"/>
    <x v="2"/>
    <x v="58"/>
    <x v="4"/>
    <s v="Еда"/>
    <n v="287"/>
    <m/>
  </r>
  <r>
    <n v="10"/>
    <x v="2"/>
    <x v="59"/>
    <x v="2"/>
    <s v="365 дней (цель)"/>
    <n v="42"/>
    <m/>
  </r>
  <r>
    <n v="10"/>
    <x v="2"/>
    <x v="59"/>
    <x v="3"/>
    <s v="Обед (работа)"/>
    <n v="133"/>
    <m/>
  </r>
  <r>
    <n v="10"/>
    <x v="2"/>
    <x v="59"/>
    <x v="3"/>
    <s v="Фаст-Фуд"/>
    <n v="150"/>
    <m/>
  </r>
  <r>
    <n v="10"/>
    <x v="2"/>
    <x v="59"/>
    <x v="0"/>
    <s v="Автобус"/>
    <n v="64"/>
    <m/>
  </r>
  <r>
    <n v="10"/>
    <x v="2"/>
    <x v="59"/>
    <x v="9"/>
    <s v="Друзья"/>
    <n v="169"/>
    <m/>
  </r>
  <r>
    <n v="10"/>
    <x v="2"/>
    <x v="59"/>
    <x v="3"/>
    <s v="Кофейня"/>
    <n v="150"/>
    <m/>
  </r>
  <r>
    <n v="10"/>
    <x v="2"/>
    <x v="59"/>
    <x v="10"/>
    <s v="Книги"/>
    <n v="503"/>
    <m/>
  </r>
  <r>
    <n v="10"/>
    <x v="2"/>
    <x v="59"/>
    <x v="5"/>
    <s v="Прочее"/>
    <n v="200"/>
    <m/>
  </r>
  <r>
    <n v="10"/>
    <x v="2"/>
    <x v="60"/>
    <x v="2"/>
    <s v="365 дней (цель)"/>
    <n v="43"/>
    <m/>
  </r>
  <r>
    <n v="10"/>
    <x v="2"/>
    <x v="60"/>
    <x v="3"/>
    <s v="Обед (работа)"/>
    <n v="188"/>
    <m/>
  </r>
  <r>
    <n v="10"/>
    <x v="2"/>
    <x v="60"/>
    <x v="3"/>
    <s v="Кофейня"/>
    <n v="170"/>
    <m/>
  </r>
  <r>
    <n v="10"/>
    <x v="2"/>
    <x v="60"/>
    <x v="0"/>
    <s v="Автобус"/>
    <n v="96"/>
    <m/>
  </r>
  <r>
    <n v="10"/>
    <x v="2"/>
    <x v="60"/>
    <x v="3"/>
    <s v="Перекус"/>
    <n v="19"/>
    <m/>
  </r>
  <r>
    <n v="10"/>
    <x v="2"/>
    <x v="60"/>
    <x v="2"/>
    <s v="Здоровье"/>
    <n v="100"/>
    <m/>
  </r>
  <r>
    <n v="10"/>
    <x v="2"/>
    <x v="60"/>
    <x v="2"/>
    <s v="365 дней (цель)"/>
    <n v="100"/>
    <m/>
  </r>
  <r>
    <n v="10"/>
    <x v="2"/>
    <x v="61"/>
    <x v="2"/>
    <s v="365 дней (цель)"/>
    <n v="44"/>
    <m/>
  </r>
  <r>
    <n v="10"/>
    <x v="2"/>
    <x v="61"/>
    <x v="0"/>
    <s v="Межгород"/>
    <n v="260"/>
    <m/>
  </r>
  <r>
    <n v="10"/>
    <x v="2"/>
    <x v="61"/>
    <x v="3"/>
    <s v="Обед (работа)"/>
    <n v="221"/>
    <m/>
  </r>
  <r>
    <n v="10"/>
    <x v="2"/>
    <x v="61"/>
    <x v="4"/>
    <s v="Еда"/>
    <n v="120"/>
    <m/>
  </r>
  <r>
    <n v="10"/>
    <x v="2"/>
    <x v="61"/>
    <x v="1"/>
    <s v="Алкоголь"/>
    <n v="1240"/>
    <m/>
  </r>
  <r>
    <n v="11"/>
    <x v="2"/>
    <x v="62"/>
    <x v="2"/>
    <s v="365 дней (цель)"/>
    <n v="45"/>
    <m/>
  </r>
  <r>
    <n v="11"/>
    <x v="2"/>
    <x v="62"/>
    <x v="1"/>
    <s v="Алкоголь"/>
    <n v="1190"/>
    <m/>
  </r>
  <r>
    <n v="11"/>
    <x v="2"/>
    <x v="63"/>
    <x v="2"/>
    <s v="Пополнение Цифрового.Портфеля"/>
    <n v="450"/>
    <m/>
  </r>
  <r>
    <n v="11"/>
    <x v="2"/>
    <x v="63"/>
    <x v="0"/>
    <s v="Межгород"/>
    <n v="276"/>
    <m/>
  </r>
  <r>
    <n v="11"/>
    <x v="2"/>
    <x v="63"/>
    <x v="4"/>
    <s v="Еда"/>
    <n v="724"/>
    <m/>
  </r>
  <r>
    <n v="11"/>
    <x v="2"/>
    <x v="64"/>
    <x v="0"/>
    <s v="Автобус"/>
    <n v="64"/>
    <m/>
  </r>
  <r>
    <n v="11"/>
    <x v="2"/>
    <x v="64"/>
    <x v="9"/>
    <s v="Друзья"/>
    <n v="220"/>
    <m/>
  </r>
  <r>
    <n v="11"/>
    <x v="2"/>
    <x v="64"/>
    <x v="4"/>
    <s v="Еда"/>
    <n v="85"/>
    <m/>
  </r>
  <r>
    <n v="11"/>
    <x v="2"/>
    <x v="65"/>
    <x v="2"/>
    <s v="365 дней (цель)"/>
    <n v="100"/>
    <m/>
  </r>
  <r>
    <n v="11"/>
    <x v="2"/>
    <x v="65"/>
    <x v="2"/>
    <s v="Пополнение Цифрового.Портфеля"/>
    <n v="100"/>
    <m/>
  </r>
  <r>
    <n v="11"/>
    <x v="2"/>
    <x v="65"/>
    <x v="2"/>
    <s v="Заначка"/>
    <n v="100"/>
    <m/>
  </r>
  <r>
    <n v="11"/>
    <x v="2"/>
    <x v="65"/>
    <x v="0"/>
    <s v="Автобус"/>
    <n v="96"/>
    <m/>
  </r>
  <r>
    <n v="11"/>
    <x v="2"/>
    <x v="65"/>
    <x v="3"/>
    <s v="Обед (работа)"/>
    <n v="154"/>
    <m/>
  </r>
  <r>
    <n v="11"/>
    <x v="2"/>
    <x v="65"/>
    <x v="3"/>
    <s v="Кофейня"/>
    <n v="510"/>
    <m/>
  </r>
  <r>
    <n v="11"/>
    <x v="2"/>
    <x v="66"/>
    <x v="2"/>
    <s v="Серебро"/>
    <n v="522"/>
    <m/>
  </r>
  <r>
    <n v="11"/>
    <x v="2"/>
    <x v="66"/>
    <x v="2"/>
    <s v="365 дней (цель)"/>
    <n v="22"/>
    <m/>
  </r>
  <r>
    <n v="11"/>
    <x v="2"/>
    <x v="66"/>
    <x v="3"/>
    <s v="Обед (работа)"/>
    <n v="170"/>
    <m/>
  </r>
  <r>
    <n v="11"/>
    <x v="2"/>
    <x v="66"/>
    <x v="4"/>
    <s v="Еда"/>
    <n v="112"/>
    <m/>
  </r>
  <r>
    <n v="11"/>
    <x v="2"/>
    <x v="67"/>
    <x v="3"/>
    <s v="Обед (работа)"/>
    <n v="102"/>
    <m/>
  </r>
  <r>
    <n v="11"/>
    <x v="2"/>
    <x v="67"/>
    <x v="4"/>
    <s v="Еда"/>
    <n v="175"/>
    <m/>
  </r>
  <r>
    <n v="11"/>
    <x v="2"/>
    <x v="68"/>
    <x v="0"/>
    <s v="Автобус"/>
    <n v="64"/>
    <m/>
  </r>
  <r>
    <n v="11"/>
    <x v="2"/>
    <x v="68"/>
    <x v="4"/>
    <s v="Еда"/>
    <n v="215"/>
    <m/>
  </r>
  <r>
    <n v="12"/>
    <x v="2"/>
    <x v="69"/>
    <x v="4"/>
    <s v="Еда"/>
    <n v="75"/>
    <m/>
  </r>
  <r>
    <n v="12"/>
    <x v="2"/>
    <x v="69"/>
    <x v="5"/>
    <s v="Прочее"/>
    <n v="750"/>
    <m/>
  </r>
  <r>
    <n v="12"/>
    <x v="2"/>
    <x v="69"/>
    <x v="3"/>
    <s v="Сладости"/>
    <n v="100"/>
    <m/>
  </r>
  <r>
    <n v="12"/>
    <x v="2"/>
    <x v="69"/>
    <x v="0"/>
    <s v="Автобус"/>
    <n v="64"/>
    <m/>
  </r>
  <r>
    <n v="12"/>
    <x v="2"/>
    <x v="70"/>
    <x v="3"/>
    <s v="Обед (работа)"/>
    <n v="145"/>
    <m/>
  </r>
  <r>
    <n v="12"/>
    <x v="2"/>
    <x v="71"/>
    <x v="2"/>
    <s v="Серебро"/>
    <n v="94"/>
    <m/>
  </r>
  <r>
    <n v="12"/>
    <x v="2"/>
    <x v="71"/>
    <x v="2"/>
    <s v="365 дней (цель)"/>
    <n v="200"/>
    <m/>
  </r>
  <r>
    <n v="12"/>
    <x v="2"/>
    <x v="71"/>
    <x v="2"/>
    <s v="Здоровье"/>
    <n v="150"/>
    <m/>
  </r>
  <r>
    <n v="12"/>
    <x v="2"/>
    <x v="71"/>
    <x v="2"/>
    <s v="Заначка"/>
    <n v="100"/>
    <m/>
  </r>
  <r>
    <n v="12"/>
    <x v="2"/>
    <x v="71"/>
    <x v="2"/>
    <s v="Пополнение Инвест.Портфеля"/>
    <n v="200"/>
    <m/>
  </r>
  <r>
    <n v="12"/>
    <x v="2"/>
    <x v="71"/>
    <x v="3"/>
    <s v="Обед (работа)"/>
    <n v="157"/>
    <m/>
  </r>
  <r>
    <n v="12"/>
    <x v="2"/>
    <x v="71"/>
    <x v="5"/>
    <s v="Прочее"/>
    <n v="150"/>
    <m/>
  </r>
  <r>
    <n v="12"/>
    <x v="2"/>
    <x v="71"/>
    <x v="7"/>
    <s v="Уход за собой"/>
    <n v="172"/>
    <m/>
  </r>
  <r>
    <n v="12"/>
    <x v="2"/>
    <x v="71"/>
    <x v="4"/>
    <s v="еда"/>
    <n v="671"/>
    <m/>
  </r>
  <r>
    <n v="12"/>
    <x v="2"/>
    <x v="72"/>
    <x v="3"/>
    <s v="Обед (работа)"/>
    <n v="163"/>
    <m/>
  </r>
  <r>
    <n v="12"/>
    <x v="2"/>
    <x v="72"/>
    <x v="4"/>
    <s v="Еда"/>
    <n v="161"/>
    <m/>
  </r>
  <r>
    <n v="12"/>
    <x v="2"/>
    <x v="73"/>
    <x v="3"/>
    <s v="Обед (работа)"/>
    <n v="153"/>
    <m/>
  </r>
  <r>
    <n v="12"/>
    <x v="2"/>
    <x v="73"/>
    <x v="6"/>
    <m/>
    <n v="200"/>
    <m/>
  </r>
  <r>
    <n v="12"/>
    <x v="2"/>
    <x v="73"/>
    <x v="4"/>
    <s v="Еда"/>
    <n v="87"/>
    <m/>
  </r>
  <r>
    <n v="12"/>
    <x v="2"/>
    <x v="74"/>
    <x v="3"/>
    <s v="Обед (работа)"/>
    <n v="86"/>
    <m/>
  </r>
  <r>
    <n v="12"/>
    <x v="2"/>
    <x v="74"/>
    <x v="0"/>
    <s v="Автобус"/>
    <n v="32"/>
    <m/>
  </r>
  <r>
    <n v="12"/>
    <x v="2"/>
    <x v="74"/>
    <x v="3"/>
    <s v="Перекус"/>
    <n v="47"/>
    <m/>
  </r>
  <r>
    <n v="12"/>
    <x v="2"/>
    <x v="75"/>
    <x v="0"/>
    <s v="Автобус"/>
    <n v="64"/>
    <m/>
  </r>
  <r>
    <n v="12"/>
    <x v="2"/>
    <x v="75"/>
    <x v="4"/>
    <s v="Еда"/>
    <n v="333"/>
    <m/>
  </r>
  <r>
    <n v="13"/>
    <x v="2"/>
    <x v="76"/>
    <x v="0"/>
    <s v="Автобус"/>
    <n v="32"/>
    <m/>
  </r>
  <r>
    <n v="13"/>
    <x v="2"/>
    <x v="76"/>
    <x v="3"/>
    <s v="Сладости"/>
    <n v="100"/>
    <m/>
  </r>
  <r>
    <n v="13"/>
    <x v="2"/>
    <x v="77"/>
    <x v="2"/>
    <s v="Пополнение Инвест.Портфеля"/>
    <n v="450"/>
    <m/>
  </r>
  <r>
    <n v="13"/>
    <x v="2"/>
    <x v="77"/>
    <x v="3"/>
    <s v="Обед (работа)"/>
    <n v="219"/>
    <m/>
  </r>
  <r>
    <n v="13"/>
    <x v="2"/>
    <x v="77"/>
    <x v="3"/>
    <s v="Перекус"/>
    <n v="91"/>
    <m/>
  </r>
  <r>
    <n v="13"/>
    <x v="2"/>
    <x v="77"/>
    <x v="0"/>
    <s v="Межгород"/>
    <n v="552"/>
    <m/>
  </r>
  <r>
    <n v="13"/>
    <x v="2"/>
    <x v="77"/>
    <x v="4"/>
    <s v="еда"/>
    <n v="52"/>
    <m/>
  </r>
  <r>
    <n v="13"/>
    <x v="2"/>
    <x v="78"/>
    <x v="3"/>
    <s v="Обед (работа)"/>
    <n v="184"/>
    <m/>
  </r>
  <r>
    <n v="13"/>
    <x v="2"/>
    <x v="78"/>
    <x v="8"/>
    <s v="Мобил.инет"/>
    <n v="110"/>
    <m/>
  </r>
  <r>
    <n v="13"/>
    <x v="2"/>
    <x v="78"/>
    <x v="4"/>
    <s v="Еда"/>
    <n v="101"/>
    <m/>
  </r>
  <r>
    <n v="13"/>
    <x v="2"/>
    <x v="79"/>
    <x v="3"/>
    <s v="Обед (работа)"/>
    <n v="92"/>
    <m/>
  </r>
  <r>
    <n v="13"/>
    <x v="2"/>
    <x v="79"/>
    <x v="3"/>
    <s v="Кофейня"/>
    <n v="100"/>
    <m/>
  </r>
  <r>
    <n v="13"/>
    <x v="2"/>
    <x v="79"/>
    <x v="0"/>
    <s v="Автобус"/>
    <n v="96"/>
    <m/>
  </r>
  <r>
    <n v="13"/>
    <x v="2"/>
    <x v="79"/>
    <x v="9"/>
    <s v="Работа"/>
    <n v="250"/>
    <m/>
  </r>
  <r>
    <n v="13"/>
    <x v="2"/>
    <x v="80"/>
    <x v="3"/>
    <s v="Обед (работа)"/>
    <n v="179"/>
    <m/>
  </r>
  <r>
    <n v="13"/>
    <x v="2"/>
    <x v="80"/>
    <x v="7"/>
    <s v="Аптека"/>
    <n v="4"/>
    <m/>
  </r>
  <r>
    <n v="13"/>
    <x v="2"/>
    <x v="81"/>
    <x v="4"/>
    <s v="Еда"/>
    <n v="426"/>
    <m/>
  </r>
  <r>
    <n v="13"/>
    <x v="2"/>
    <x v="81"/>
    <x v="2"/>
    <s v="Заначка"/>
    <n v="270"/>
    <m/>
  </r>
  <r>
    <n v="13"/>
    <x v="2"/>
    <x v="82"/>
    <x v="4"/>
    <s v="Еда"/>
    <n v="85"/>
    <m/>
  </r>
  <r>
    <n v="14"/>
    <x v="2"/>
    <x v="83"/>
    <x v="3"/>
    <s v="Кофейня"/>
    <n v="45"/>
    <m/>
  </r>
  <r>
    <n v="14"/>
    <x v="2"/>
    <x v="83"/>
    <x v="4"/>
    <s v="Еда"/>
    <n v="368"/>
    <m/>
  </r>
  <r>
    <n v="14"/>
    <x v="2"/>
    <x v="84"/>
    <x v="2"/>
    <s v="Пополнение Цифрового.Портфеля"/>
    <n v="450"/>
    <m/>
  </r>
  <r>
    <n v="14"/>
    <x v="2"/>
    <x v="84"/>
    <x v="0"/>
    <s v="Автобус"/>
    <n v="64"/>
    <m/>
  </r>
  <r>
    <n v="14"/>
    <x v="2"/>
    <x v="84"/>
    <x v="3"/>
    <s v="Обед (работа)"/>
    <n v="190"/>
    <m/>
  </r>
  <r>
    <n v="14"/>
    <x v="2"/>
    <x v="84"/>
    <x v="4"/>
    <s v="Еда"/>
    <n v="45"/>
    <m/>
  </r>
  <r>
    <n v="14"/>
    <x v="2"/>
    <x v="85"/>
    <x v="3"/>
    <s v="Обед (работа)"/>
    <n v="99"/>
    <m/>
  </r>
  <r>
    <n v="14"/>
    <x v="2"/>
    <x v="85"/>
    <x v="4"/>
    <s v="Еда"/>
    <n v="112"/>
    <m/>
  </r>
  <r>
    <n v="14"/>
    <x v="2"/>
    <x v="85"/>
    <x v="7"/>
    <s v="Уход за собой"/>
    <n v="800"/>
    <m/>
  </r>
  <r>
    <n v="14"/>
    <x v="2"/>
    <x v="86"/>
    <x v="2"/>
    <s v="Пополнение Цифрового.Портфеля"/>
    <n v="750"/>
    <m/>
  </r>
  <r>
    <n v="14"/>
    <x v="2"/>
    <x v="86"/>
    <x v="2"/>
    <s v="Серебро"/>
    <n v="72"/>
    <m/>
  </r>
  <r>
    <n v="14"/>
    <x v="2"/>
    <x v="86"/>
    <x v="2"/>
    <s v="Заначка"/>
    <n v="200"/>
    <m/>
  </r>
  <r>
    <n v="14"/>
    <x v="2"/>
    <x v="86"/>
    <x v="2"/>
    <s v="Здоровье"/>
    <n v="250"/>
    <m/>
  </r>
  <r>
    <n v="14"/>
    <x v="2"/>
    <x v="86"/>
    <x v="3"/>
    <s v="Обед (работа)"/>
    <n v="103"/>
    <m/>
  </r>
  <r>
    <n v="14"/>
    <x v="2"/>
    <x v="86"/>
    <x v="8"/>
    <s v="Интернет"/>
    <n v="200"/>
    <m/>
  </r>
  <r>
    <n v="14"/>
    <x v="2"/>
    <x v="86"/>
    <x v="3"/>
    <s v="Сладости"/>
    <n v="190"/>
    <m/>
  </r>
  <r>
    <n v="14"/>
    <x v="2"/>
    <x v="86"/>
    <x v="5"/>
    <s v="Прочее"/>
    <n v="308"/>
    <m/>
  </r>
  <r>
    <n v="14"/>
    <x v="2"/>
    <x v="87"/>
    <x v="3"/>
    <s v="Обед (работа)"/>
    <n v="115"/>
    <m/>
  </r>
  <r>
    <n v="14"/>
    <x v="2"/>
    <x v="87"/>
    <x v="4"/>
    <s v="еда"/>
    <n v="492"/>
    <m/>
  </r>
  <r>
    <n v="14"/>
    <x v="2"/>
    <x v="87"/>
    <x v="0"/>
    <s v="Автобус"/>
    <n v="32"/>
    <m/>
  </r>
  <r>
    <n v="14"/>
    <x v="3"/>
    <x v="88"/>
    <x v="2"/>
    <s v="365 дней (цель)"/>
    <n v="2"/>
    <m/>
  </r>
  <r>
    <n v="14"/>
    <x v="3"/>
    <x v="88"/>
    <x v="0"/>
    <s v="Автобус"/>
    <n v="32"/>
    <m/>
  </r>
  <r>
    <n v="14"/>
    <x v="3"/>
    <x v="88"/>
    <x v="3"/>
    <s v="Обед (работа)"/>
    <n v="179"/>
    <m/>
  </r>
  <r>
    <n v="14"/>
    <x v="3"/>
    <x v="88"/>
    <x v="4"/>
    <s v="Еда"/>
    <n v="186"/>
    <m/>
  </r>
  <r>
    <n v="14"/>
    <x v="3"/>
    <x v="89"/>
    <x v="2"/>
    <s v="365 дней (цель)"/>
    <n v="4"/>
    <m/>
  </r>
  <r>
    <n v="14"/>
    <x v="3"/>
    <x v="89"/>
    <x v="0"/>
    <s v="Автобус"/>
    <n v="96"/>
    <m/>
  </r>
  <r>
    <n v="14"/>
    <x v="3"/>
    <x v="89"/>
    <x v="4"/>
    <s v="Еда"/>
    <n v="240"/>
    <m/>
  </r>
  <r>
    <n v="14"/>
    <x v="3"/>
    <x v="89"/>
    <x v="7"/>
    <s v="Уход за собой"/>
    <n v="1540"/>
    <m/>
  </r>
  <r>
    <n v="14"/>
    <x v="3"/>
    <x v="89"/>
    <x v="7"/>
    <s v="Аптека"/>
    <n v="299"/>
    <m/>
  </r>
  <r>
    <n v="15"/>
    <x v="3"/>
    <x v="90"/>
    <x v="2"/>
    <s v="365 дней (цель)"/>
    <n v="6"/>
    <m/>
  </r>
  <r>
    <n v="15"/>
    <x v="3"/>
    <x v="90"/>
    <x v="4"/>
    <s v="еда"/>
    <n v="447"/>
    <m/>
  </r>
  <r>
    <n v="15"/>
    <x v="3"/>
    <x v="91"/>
    <x v="2"/>
    <s v="365 дней (цель)"/>
    <n v="8"/>
    <m/>
  </r>
  <r>
    <n v="15"/>
    <x v="3"/>
    <x v="91"/>
    <x v="3"/>
    <s v="Обед (работа)"/>
    <n v="135"/>
    <m/>
  </r>
  <r>
    <n v="15"/>
    <x v="3"/>
    <x v="91"/>
    <x v="2"/>
    <s v="Пополнение Инвест.Портфеля"/>
    <n v="450"/>
    <m/>
  </r>
  <r>
    <n v="15"/>
    <x v="3"/>
    <x v="92"/>
    <x v="2"/>
    <s v="365 дней (цель)"/>
    <n v="10"/>
    <m/>
  </r>
  <r>
    <n v="15"/>
    <x v="3"/>
    <x v="92"/>
    <x v="3"/>
    <s v="Обед (работа)"/>
    <n v="224"/>
    <m/>
  </r>
  <r>
    <n v="15"/>
    <x v="3"/>
    <x v="92"/>
    <x v="0"/>
    <s v="Автобус"/>
    <n v="32"/>
    <m/>
  </r>
  <r>
    <n v="15"/>
    <x v="3"/>
    <x v="93"/>
    <x v="2"/>
    <s v="365 дней (цель)"/>
    <n v="12"/>
    <m/>
  </r>
  <r>
    <n v="15"/>
    <x v="3"/>
    <x v="93"/>
    <x v="3"/>
    <s v="Обед (работа)"/>
    <n v="110"/>
    <m/>
  </r>
  <r>
    <n v="15"/>
    <x v="3"/>
    <x v="93"/>
    <x v="4"/>
    <s v="Еда"/>
    <n v="345"/>
    <m/>
  </r>
  <r>
    <n v="15"/>
    <x v="3"/>
    <x v="93"/>
    <x v="7"/>
    <s v="Аптека"/>
    <n v="76"/>
    <m/>
  </r>
  <r>
    <n v="15"/>
    <x v="3"/>
    <x v="94"/>
    <x v="2"/>
    <s v="365 дней (цель)"/>
    <n v="14"/>
    <m/>
  </r>
  <r>
    <n v="15"/>
    <x v="3"/>
    <x v="94"/>
    <x v="0"/>
    <s v="Автобус"/>
    <n v="32"/>
    <m/>
  </r>
  <r>
    <n v="15"/>
    <x v="3"/>
    <x v="94"/>
    <x v="3"/>
    <s v="Обед (работа)"/>
    <n v="156"/>
    <m/>
  </r>
  <r>
    <n v="15"/>
    <x v="3"/>
    <x v="94"/>
    <x v="4"/>
    <s v="Еда"/>
    <n v="481"/>
    <m/>
  </r>
  <r>
    <n v="15"/>
    <x v="3"/>
    <x v="94"/>
    <x v="5"/>
    <s v="Прочее"/>
    <n v="40"/>
    <m/>
  </r>
  <r>
    <n v="15"/>
    <x v="3"/>
    <x v="94"/>
    <x v="7"/>
    <s v="Аптека"/>
    <n v="290"/>
    <m/>
  </r>
  <r>
    <n v="15"/>
    <x v="3"/>
    <x v="95"/>
    <x v="2"/>
    <s v="365 дней (цель)"/>
    <n v="16"/>
    <m/>
  </r>
  <r>
    <n v="15"/>
    <x v="3"/>
    <x v="95"/>
    <x v="3"/>
    <s v="Обед (работа)"/>
    <n v="145"/>
    <m/>
  </r>
  <r>
    <n v="15"/>
    <x v="3"/>
    <x v="95"/>
    <x v="5"/>
    <s v="Прочее"/>
    <n v="60"/>
    <m/>
  </r>
  <r>
    <n v="15"/>
    <x v="3"/>
    <x v="95"/>
    <x v="1"/>
    <s v="Алкоголь"/>
    <n v="258"/>
    <m/>
  </r>
  <r>
    <n v="15"/>
    <x v="3"/>
    <x v="95"/>
    <x v="0"/>
    <s v="Автобус"/>
    <n v="32"/>
    <m/>
  </r>
  <r>
    <n v="15"/>
    <x v="3"/>
    <x v="96"/>
    <x v="0"/>
    <s v="Такси"/>
    <n v="235"/>
    <m/>
  </r>
  <r>
    <n v="16"/>
    <x v="3"/>
    <x v="97"/>
    <x v="2"/>
    <s v="365 дней (цель)"/>
    <n v="18"/>
    <m/>
  </r>
  <r>
    <n v="16"/>
    <x v="3"/>
    <x v="97"/>
    <x v="2"/>
    <s v="365 дней (цель)"/>
    <n v="20"/>
    <m/>
  </r>
  <r>
    <n v="16"/>
    <x v="3"/>
    <x v="97"/>
    <x v="0"/>
    <s v="Автобус"/>
    <n v="128"/>
    <m/>
  </r>
  <r>
    <n v="16"/>
    <x v="3"/>
    <x v="97"/>
    <x v="4"/>
    <s v="Еда"/>
    <n v="575"/>
    <m/>
  </r>
  <r>
    <n v="16"/>
    <x v="3"/>
    <x v="98"/>
    <x v="2"/>
    <s v="Пополнение Цифрового.Портфеля"/>
    <n v="450"/>
    <m/>
  </r>
  <r>
    <n v="16"/>
    <x v="3"/>
    <x v="98"/>
    <x v="2"/>
    <s v="365 дней (цель)"/>
    <n v="22"/>
    <m/>
  </r>
  <r>
    <n v="16"/>
    <x v="3"/>
    <x v="98"/>
    <x v="0"/>
    <s v="Автобус"/>
    <n v="42"/>
    <m/>
  </r>
  <r>
    <n v="16"/>
    <x v="3"/>
    <x v="98"/>
    <x v="3"/>
    <s v="Обед (работа)"/>
    <n v="173"/>
    <m/>
  </r>
  <r>
    <n v="16"/>
    <x v="3"/>
    <x v="99"/>
    <x v="2"/>
    <s v="Пополнение Цифрового.Портфеля"/>
    <n v="100"/>
    <m/>
  </r>
  <r>
    <n v="16"/>
    <x v="3"/>
    <x v="99"/>
    <x v="2"/>
    <s v="365 дней (цель)"/>
    <n v="24"/>
    <m/>
  </r>
  <r>
    <n v="16"/>
    <x v="3"/>
    <x v="99"/>
    <x v="3"/>
    <s v="Обед (работа)"/>
    <n v="208"/>
    <m/>
  </r>
  <r>
    <n v="16"/>
    <x v="3"/>
    <x v="99"/>
    <x v="4"/>
    <s v="Еда"/>
    <n v="367"/>
    <m/>
  </r>
  <r>
    <n v="16"/>
    <x v="3"/>
    <x v="100"/>
    <x v="2"/>
    <s v="365 дней (цель)"/>
    <n v="26"/>
    <m/>
  </r>
  <r>
    <n v="16"/>
    <x v="3"/>
    <x v="100"/>
    <x v="0"/>
    <s v="Автобус"/>
    <n v="32"/>
    <m/>
  </r>
  <r>
    <n v="16"/>
    <x v="3"/>
    <x v="100"/>
    <x v="3"/>
    <s v="Обед (работа)"/>
    <n v="204"/>
    <m/>
  </r>
  <r>
    <n v="16"/>
    <x v="3"/>
    <x v="100"/>
    <x v="4"/>
    <s v="Еда"/>
    <n v="78"/>
    <m/>
  </r>
  <r>
    <n v="16"/>
    <x v="3"/>
    <x v="101"/>
    <x v="2"/>
    <s v="365 дней (цель)"/>
    <n v="28"/>
    <m/>
  </r>
  <r>
    <n v="16"/>
    <x v="3"/>
    <x v="101"/>
    <x v="0"/>
    <s v="Автобус"/>
    <n v="64"/>
    <m/>
  </r>
  <r>
    <n v="16"/>
    <x v="3"/>
    <x v="101"/>
    <x v="3"/>
    <s v="Обед (работа)"/>
    <n v="163"/>
    <m/>
  </r>
  <r>
    <n v="16"/>
    <x v="3"/>
    <x v="102"/>
    <x v="2"/>
    <s v="365 дней (цель)"/>
    <n v="30"/>
    <m/>
  </r>
  <r>
    <n v="16"/>
    <x v="3"/>
    <x v="102"/>
    <x v="4"/>
    <s v="Еда"/>
    <n v="103"/>
    <m/>
  </r>
  <r>
    <n v="16"/>
    <x v="3"/>
    <x v="102"/>
    <x v="3"/>
    <s v="Фаст-Фуд"/>
    <n v="369"/>
    <m/>
  </r>
  <r>
    <n v="16"/>
    <x v="3"/>
    <x v="102"/>
    <x v="7"/>
    <s v="Аптека"/>
    <n v="152"/>
    <m/>
  </r>
  <r>
    <n v="16"/>
    <x v="3"/>
    <x v="102"/>
    <x v="3"/>
    <s v="Обед (работа)"/>
    <n v="164"/>
    <m/>
  </r>
  <r>
    <n v="16"/>
    <x v="3"/>
    <x v="103"/>
    <x v="2"/>
    <s v="Пополнение Цифрового.Портфеля"/>
    <n v="600"/>
    <m/>
  </r>
  <r>
    <n v="16"/>
    <x v="3"/>
    <x v="103"/>
    <x v="2"/>
    <s v="Здоровье"/>
    <n v="400"/>
    <m/>
  </r>
  <r>
    <n v="16"/>
    <x v="3"/>
    <x v="103"/>
    <x v="2"/>
    <s v="365 дней (цель)"/>
    <n v="30"/>
    <m/>
  </r>
  <r>
    <n v="16"/>
    <x v="3"/>
    <x v="103"/>
    <x v="0"/>
    <s v="Межгород"/>
    <n v="260"/>
    <s v="+"/>
  </r>
  <r>
    <n v="16"/>
    <x v="3"/>
    <x v="103"/>
    <x v="2"/>
    <m/>
    <n v="400"/>
    <s v="Обучение"/>
  </r>
  <r>
    <n v="16"/>
    <x v="3"/>
    <x v="103"/>
    <x v="0"/>
    <s v="Метро"/>
    <n v="64"/>
    <s v="+"/>
  </r>
  <r>
    <n v="16"/>
    <x v="3"/>
    <x v="103"/>
    <x v="3"/>
    <s v="Шаверма"/>
    <n v="274"/>
    <m/>
  </r>
  <r>
    <n v="16"/>
    <x v="3"/>
    <x v="103"/>
    <x v="4"/>
    <s v="Еда"/>
    <n v="124"/>
    <s v="+"/>
  </r>
  <r>
    <n v="17"/>
    <x v="3"/>
    <x v="104"/>
    <x v="2"/>
    <s v="365 дней (цель)"/>
    <n v="34"/>
    <m/>
  </r>
  <r>
    <n v="17"/>
    <x v="3"/>
    <x v="104"/>
    <x v="0"/>
    <s v="Межгород"/>
    <n v="276"/>
    <m/>
  </r>
  <r>
    <n v="17"/>
    <x v="3"/>
    <x v="104"/>
    <x v="3"/>
    <s v="Перекус"/>
    <n v="20"/>
    <m/>
  </r>
  <r>
    <n v="17"/>
    <x v="3"/>
    <x v="104"/>
    <x v="4"/>
    <s v="Еда"/>
    <n v="678"/>
    <m/>
  </r>
  <r>
    <n v="17"/>
    <x v="3"/>
    <x v="105"/>
    <x v="2"/>
    <s v="Пополнение Цифрового.Портфеля"/>
    <n v="450"/>
    <m/>
  </r>
  <r>
    <n v="17"/>
    <x v="3"/>
    <x v="105"/>
    <x v="2"/>
    <s v="365 дней (цель)"/>
    <n v="38"/>
    <m/>
  </r>
  <r>
    <n v="17"/>
    <x v="3"/>
    <x v="105"/>
    <x v="3"/>
    <s v="Обед (работа)"/>
    <n v="182"/>
    <m/>
  </r>
  <r>
    <n v="17"/>
    <x v="3"/>
    <x v="106"/>
    <x v="2"/>
    <s v="365 дней (цель)"/>
    <n v="40"/>
    <m/>
  </r>
  <r>
    <n v="17"/>
    <x v="3"/>
    <x v="106"/>
    <x v="3"/>
    <s v="Обед (работа)"/>
    <n v="219"/>
    <m/>
  </r>
  <r>
    <n v="17"/>
    <x v="3"/>
    <x v="106"/>
    <x v="0"/>
    <s v="Автобус"/>
    <n v="64"/>
    <m/>
  </r>
  <r>
    <n v="17"/>
    <x v="3"/>
    <x v="106"/>
    <x v="3"/>
    <s v="Сладости"/>
    <n v="150"/>
    <m/>
  </r>
  <r>
    <n v="17"/>
    <x v="3"/>
    <x v="107"/>
    <x v="2"/>
    <s v="365 дней (цель)"/>
    <n v="42"/>
    <m/>
  </r>
  <r>
    <n v="17"/>
    <x v="3"/>
    <x v="107"/>
    <x v="3"/>
    <s v="Обед (работа)"/>
    <n v="173"/>
    <m/>
  </r>
  <r>
    <n v="17"/>
    <x v="3"/>
    <x v="107"/>
    <x v="0"/>
    <s v="Автобус"/>
    <n v="64"/>
    <m/>
  </r>
  <r>
    <n v="17"/>
    <x v="3"/>
    <x v="107"/>
    <x v="4"/>
    <s v="Еда"/>
    <n v="351"/>
    <m/>
  </r>
  <r>
    <n v="17"/>
    <x v="3"/>
    <x v="108"/>
    <x v="2"/>
    <s v="365 дней (цель)"/>
    <n v="44"/>
    <m/>
  </r>
  <r>
    <n v="17"/>
    <x v="3"/>
    <x v="108"/>
    <x v="3"/>
    <s v="Обед (работа)"/>
    <n v="247"/>
    <m/>
  </r>
  <r>
    <n v="17"/>
    <x v="3"/>
    <x v="108"/>
    <x v="5"/>
    <s v="Одежда"/>
    <n v="698"/>
    <m/>
  </r>
  <r>
    <n v="17"/>
    <x v="3"/>
    <x v="108"/>
    <x v="4"/>
    <s v="Еда"/>
    <n v="579"/>
    <m/>
  </r>
  <r>
    <n v="17"/>
    <x v="3"/>
    <x v="109"/>
    <x v="2"/>
    <s v="365 дней (цель)"/>
    <n v="46"/>
    <m/>
  </r>
  <r>
    <n v="17"/>
    <x v="3"/>
    <x v="109"/>
    <x v="3"/>
    <s v="Обед (работа)"/>
    <n v="196"/>
    <m/>
  </r>
  <r>
    <n v="17"/>
    <x v="3"/>
    <x v="109"/>
    <x v="0"/>
    <s v="Автобус"/>
    <n v="32"/>
    <m/>
  </r>
  <r>
    <n v="17"/>
    <x v="3"/>
    <x v="109"/>
    <x v="4"/>
    <s v="Еда"/>
    <n v="360"/>
    <m/>
  </r>
  <r>
    <n v="17"/>
    <x v="3"/>
    <x v="109"/>
    <x v="1"/>
    <s v="Алкоголь"/>
    <n v="650"/>
    <m/>
  </r>
  <r>
    <n v="17"/>
    <x v="3"/>
    <x v="109"/>
    <x v="0"/>
    <s v="Такси"/>
    <n v="105"/>
    <m/>
  </r>
  <r>
    <n v="17"/>
    <x v="3"/>
    <x v="110"/>
    <x v="1"/>
    <s v="Алкоголь"/>
    <n v="587"/>
    <m/>
  </r>
  <r>
    <n v="17"/>
    <x v="3"/>
    <x v="110"/>
    <x v="0"/>
    <s v="Такси"/>
    <n v="284"/>
    <m/>
  </r>
  <r>
    <n v="17"/>
    <x v="3"/>
    <x v="110"/>
    <x v="8"/>
    <s v="Мобил.инет"/>
    <n v="230"/>
    <m/>
  </r>
  <r>
    <n v="17"/>
    <x v="3"/>
    <x v="110"/>
    <x v="8"/>
    <s v="Интернет"/>
    <n v="200"/>
    <m/>
  </r>
  <r>
    <n v="17"/>
    <x v="3"/>
    <x v="110"/>
    <x v="0"/>
    <s v="Автобус"/>
    <n v="128"/>
    <m/>
  </r>
  <r>
    <n v="17"/>
    <x v="3"/>
    <x v="110"/>
    <x v="3"/>
    <s v="Перекус"/>
    <n v="203"/>
    <m/>
  </r>
  <r>
    <n v="17"/>
    <x v="3"/>
    <x v="110"/>
    <x v="2"/>
    <s v="365 дней (цель)"/>
    <n v="48"/>
    <m/>
  </r>
  <r>
    <n v="18"/>
    <x v="3"/>
    <x v="111"/>
    <x v="0"/>
    <s v="Такси"/>
    <n v="16"/>
    <m/>
  </r>
  <r>
    <n v="18"/>
    <x v="3"/>
    <x v="111"/>
    <x v="0"/>
    <s v="Автобус"/>
    <n v="32"/>
    <m/>
  </r>
  <r>
    <n v="18"/>
    <x v="3"/>
    <x v="111"/>
    <x v="4"/>
    <s v="Еда"/>
    <n v="466"/>
    <m/>
  </r>
  <r>
    <n v="18"/>
    <x v="3"/>
    <x v="112"/>
    <x v="3"/>
    <s v="Обед (работа)"/>
    <n v="172"/>
    <m/>
  </r>
  <r>
    <n v="18"/>
    <x v="3"/>
    <x v="112"/>
    <x v="2"/>
    <s v="365 дней (цель)"/>
    <n v="52"/>
    <m/>
  </r>
  <r>
    <n v="18"/>
    <x v="3"/>
    <x v="113"/>
    <x v="2"/>
    <s v="365 дней (цель)"/>
    <n v="54"/>
    <m/>
  </r>
  <r>
    <n v="18"/>
    <x v="3"/>
    <x v="113"/>
    <x v="3"/>
    <s v="Обед (работа)"/>
    <n v="175"/>
    <m/>
  </r>
  <r>
    <n v="18"/>
    <x v="3"/>
    <x v="113"/>
    <x v="4"/>
    <s v="Еда"/>
    <n v="46"/>
    <m/>
  </r>
  <r>
    <n v="18"/>
    <x v="3"/>
    <x v="114"/>
    <x v="2"/>
    <s v="365 дней (цель)"/>
    <n v="56"/>
    <m/>
  </r>
  <r>
    <n v="18"/>
    <x v="3"/>
    <x v="114"/>
    <x v="3"/>
    <s v="Обед (работа)"/>
    <n v="200"/>
    <m/>
  </r>
  <r>
    <n v="18"/>
    <x v="3"/>
    <x v="114"/>
    <x v="4"/>
    <s v="Еда"/>
    <n v="319"/>
    <m/>
  </r>
  <r>
    <n v="18"/>
    <x v="3"/>
    <x v="115"/>
    <x v="2"/>
    <s v="365 дней (цель)"/>
    <n v="58"/>
    <m/>
  </r>
  <r>
    <n v="18"/>
    <x v="3"/>
    <x v="115"/>
    <x v="3"/>
    <s v="Обед (работа)"/>
    <n v="126"/>
    <m/>
  </r>
  <r>
    <n v="18"/>
    <x v="3"/>
    <x v="115"/>
    <x v="4"/>
    <s v="Еда"/>
    <n v="47"/>
    <m/>
  </r>
  <r>
    <n v="18"/>
    <x v="3"/>
    <x v="116"/>
    <x v="2"/>
    <s v="365 дней (цель)"/>
    <n v="60"/>
    <m/>
  </r>
  <r>
    <n v="18"/>
    <x v="3"/>
    <x v="116"/>
    <x v="0"/>
    <s v="Автобус"/>
    <n v="32"/>
    <m/>
  </r>
  <r>
    <n v="18"/>
    <x v="3"/>
    <x v="116"/>
    <x v="3"/>
    <s v="Обед (работа)"/>
    <n v="150"/>
    <m/>
  </r>
  <r>
    <n v="18"/>
    <x v="3"/>
    <x v="116"/>
    <x v="4"/>
    <s v="Еда"/>
    <n v="853"/>
    <m/>
  </r>
  <r>
    <n v="18"/>
    <x v="3"/>
    <x v="117"/>
    <x v="2"/>
    <s v="365 дней (цель)"/>
    <n v="62"/>
    <m/>
  </r>
  <r>
    <n v="18"/>
    <x v="3"/>
    <x v="117"/>
    <x v="5"/>
    <s v="Прочее"/>
    <n v="829"/>
    <m/>
  </r>
  <r>
    <n v="18"/>
    <x v="3"/>
    <x v="117"/>
    <x v="2"/>
    <s v="Здоровье"/>
    <n v="300"/>
    <m/>
  </r>
  <r>
    <n v="18"/>
    <x v="3"/>
    <x v="117"/>
    <x v="2"/>
    <s v="Заначка"/>
    <n v="250"/>
    <m/>
  </r>
  <r>
    <n v="18"/>
    <x v="3"/>
    <x v="117"/>
    <x v="2"/>
    <s v="Пополнение Инвест.Портфеля"/>
    <n v="400"/>
    <m/>
  </r>
  <r>
    <n v="18"/>
    <x v="3"/>
    <x v="117"/>
    <x v="0"/>
    <s v="Автобус"/>
    <n v="64"/>
    <m/>
  </r>
  <r>
    <n v="18"/>
    <x v="3"/>
    <x v="117"/>
    <x v="1"/>
    <s v="Алкоголь"/>
    <n v="400"/>
    <m/>
  </r>
  <r>
    <n v="18"/>
    <x v="3"/>
    <x v="117"/>
    <x v="3"/>
    <s v="Кофейня"/>
    <n v="110"/>
    <m/>
  </r>
  <r>
    <n v="19"/>
    <x v="4"/>
    <x v="118"/>
    <x v="2"/>
    <s v="365 дней (цель)"/>
    <n v="64"/>
    <m/>
  </r>
  <r>
    <n v="19"/>
    <x v="4"/>
    <x v="118"/>
    <x v="3"/>
    <s v="Фаст-Фуд"/>
    <n v="159"/>
    <m/>
  </r>
  <r>
    <n v="19"/>
    <x v="4"/>
    <x v="118"/>
    <x v="1"/>
    <s v="Алкоголь"/>
    <n v="400"/>
    <m/>
  </r>
  <r>
    <n v="19"/>
    <x v="4"/>
    <x v="119"/>
    <x v="0"/>
    <s v="Межгород"/>
    <n v="276"/>
    <m/>
  </r>
  <r>
    <n v="19"/>
    <x v="4"/>
    <x v="119"/>
    <x v="3"/>
    <s v="Перекус"/>
    <n v="20"/>
    <m/>
  </r>
  <r>
    <n v="19"/>
    <x v="4"/>
    <x v="119"/>
    <x v="0"/>
    <s v="Такси"/>
    <n v="110"/>
    <m/>
  </r>
  <r>
    <n v="19"/>
    <x v="4"/>
    <x v="119"/>
    <x v="5"/>
    <s v="Прочее"/>
    <n v="558"/>
    <m/>
  </r>
  <r>
    <n v="19"/>
    <x v="4"/>
    <x v="119"/>
    <x v="0"/>
    <s v="Автобус"/>
    <n v="32"/>
    <m/>
  </r>
  <r>
    <n v="19"/>
    <x v="4"/>
    <x v="119"/>
    <x v="2"/>
    <s v="365 дней (цель)"/>
    <n v="66"/>
    <m/>
  </r>
  <r>
    <n v="19"/>
    <x v="4"/>
    <x v="120"/>
    <x v="2"/>
    <s v="365 дней (цель)"/>
    <n v="68"/>
    <m/>
  </r>
  <r>
    <n v="19"/>
    <x v="4"/>
    <x v="120"/>
    <x v="0"/>
    <s v="Автобус"/>
    <n v="32"/>
    <m/>
  </r>
  <r>
    <n v="19"/>
    <x v="4"/>
    <x v="120"/>
    <x v="3"/>
    <s v="Кофейня"/>
    <n v="159"/>
    <m/>
  </r>
  <r>
    <n v="19"/>
    <x v="4"/>
    <x v="120"/>
    <x v="4"/>
    <s v="Еда"/>
    <n v="300"/>
    <m/>
  </r>
  <r>
    <n v="19"/>
    <x v="4"/>
    <x v="121"/>
    <x v="2"/>
    <s v="365 дней (цель)"/>
    <n v="70"/>
    <m/>
  </r>
  <r>
    <n v="19"/>
    <x v="4"/>
    <x v="121"/>
    <x v="3"/>
    <s v="Обед (работа)"/>
    <n v="194"/>
    <m/>
  </r>
  <r>
    <n v="19"/>
    <x v="4"/>
    <x v="121"/>
    <x v="0"/>
    <s v="Автобус"/>
    <n v="96"/>
    <m/>
  </r>
  <r>
    <n v="19"/>
    <x v="4"/>
    <x v="121"/>
    <x v="4"/>
    <s v="Еда"/>
    <n v="185"/>
    <m/>
  </r>
  <r>
    <n v="19"/>
    <x v="4"/>
    <x v="121"/>
    <x v="7"/>
    <s v="Уход за собой"/>
    <n v="1999"/>
    <m/>
  </r>
  <r>
    <n v="19"/>
    <x v="4"/>
    <x v="122"/>
    <x v="2"/>
    <s v="365 дней (цель)"/>
    <n v="72"/>
    <m/>
  </r>
  <r>
    <n v="19"/>
    <x v="4"/>
    <x v="122"/>
    <x v="0"/>
    <s v="Автобус"/>
    <n v="32"/>
    <m/>
  </r>
  <r>
    <n v="19"/>
    <x v="4"/>
    <x v="122"/>
    <x v="3"/>
    <s v="Обед (работа)"/>
    <n v="184"/>
    <m/>
  </r>
  <r>
    <n v="19"/>
    <x v="4"/>
    <x v="122"/>
    <x v="0"/>
    <s v="Такси"/>
    <n v="209"/>
    <m/>
  </r>
  <r>
    <n v="19"/>
    <x v="4"/>
    <x v="122"/>
    <x v="3"/>
    <s v="Кофейня"/>
    <n v="89"/>
    <m/>
  </r>
  <r>
    <n v="19"/>
    <x v="4"/>
    <x v="123"/>
    <x v="2"/>
    <s v="365 дней (цель)"/>
    <n v="74"/>
    <m/>
  </r>
  <r>
    <n v="19"/>
    <x v="4"/>
    <x v="123"/>
    <x v="0"/>
    <s v="Автобус"/>
    <n v="32"/>
    <m/>
  </r>
  <r>
    <n v="19"/>
    <x v="4"/>
    <x v="123"/>
    <x v="3"/>
    <s v="Обед (работа)"/>
    <n v="127"/>
    <m/>
  </r>
  <r>
    <n v="19"/>
    <x v="4"/>
    <x v="123"/>
    <x v="7"/>
    <s v="Уход за собой"/>
    <n v="800"/>
    <m/>
  </r>
  <r>
    <n v="19"/>
    <x v="4"/>
    <x v="123"/>
    <x v="4"/>
    <s v="Еда"/>
    <n v="452"/>
    <m/>
  </r>
  <r>
    <n v="19"/>
    <x v="4"/>
    <x v="123"/>
    <x v="2"/>
    <s v="Финансовая  подушка"/>
    <n v="50"/>
    <m/>
  </r>
  <r>
    <n v="19"/>
    <x v="4"/>
    <x v="124"/>
    <x v="0"/>
    <s v="Автобус"/>
    <n v="32"/>
    <m/>
  </r>
  <r>
    <n v="19"/>
    <x v="4"/>
    <x v="124"/>
    <x v="3"/>
    <s v="Обед (работа)"/>
    <n v="113"/>
    <m/>
  </r>
  <r>
    <n v="19"/>
    <x v="4"/>
    <x v="124"/>
    <x v="4"/>
    <s v="Еда"/>
    <n v="250"/>
    <m/>
  </r>
  <r>
    <n v="19"/>
    <x v="4"/>
    <x v="124"/>
    <x v="1"/>
    <s v="Алкоголь"/>
    <n v="70"/>
    <m/>
  </r>
  <r>
    <n v="20"/>
    <x v="4"/>
    <x v="125"/>
    <x v="3"/>
    <s v="Шаверма"/>
    <n v="149"/>
    <m/>
  </r>
  <r>
    <n v="20"/>
    <x v="4"/>
    <x v="125"/>
    <x v="4"/>
    <s v="Еда"/>
    <n v="70"/>
    <m/>
  </r>
  <r>
    <n v="20"/>
    <x v="4"/>
    <x v="126"/>
    <x v="0"/>
    <s v="Автобус"/>
    <n v="32"/>
    <m/>
  </r>
  <r>
    <n v="20"/>
    <x v="4"/>
    <x v="126"/>
    <x v="0"/>
    <s v="Такси"/>
    <n v="147"/>
    <m/>
  </r>
  <r>
    <n v="20"/>
    <x v="4"/>
    <x v="126"/>
    <x v="3"/>
    <s v="Сладости"/>
    <n v="126"/>
    <m/>
  </r>
  <r>
    <n v="20"/>
    <x v="4"/>
    <x v="127"/>
    <x v="0"/>
    <s v="Такси"/>
    <n v="428"/>
    <m/>
  </r>
  <r>
    <n v="20"/>
    <x v="4"/>
    <x v="127"/>
    <x v="4"/>
    <s v="Еда"/>
    <n v="436"/>
    <m/>
  </r>
  <r>
    <n v="20"/>
    <x v="4"/>
    <x v="127"/>
    <x v="5"/>
    <s v="На картины"/>
    <n v="1630"/>
    <m/>
  </r>
  <r>
    <n v="20"/>
    <x v="4"/>
    <x v="128"/>
    <x v="2"/>
    <s v="365 дней (цель)"/>
    <n v="133"/>
    <m/>
  </r>
  <r>
    <n v="20"/>
    <x v="4"/>
    <x v="128"/>
    <x v="3"/>
    <s v="Обед (работа)"/>
    <n v="187"/>
    <m/>
  </r>
  <r>
    <n v="20"/>
    <x v="4"/>
    <x v="128"/>
    <x v="5"/>
    <s v="На картины"/>
    <n v="439"/>
    <m/>
  </r>
  <r>
    <n v="20"/>
    <x v="4"/>
    <x v="129"/>
    <x v="3"/>
    <s v="Обед (работа)"/>
    <n v="170"/>
    <m/>
  </r>
  <r>
    <n v="20"/>
    <x v="4"/>
    <x v="129"/>
    <x v="5"/>
    <s v="На картины"/>
    <n v="280"/>
    <m/>
  </r>
  <r>
    <n v="20"/>
    <x v="4"/>
    <x v="129"/>
    <x v="4"/>
    <s v="Еда"/>
    <n v="100"/>
    <m/>
  </r>
  <r>
    <n v="20"/>
    <x v="4"/>
    <x v="130"/>
    <x v="3"/>
    <s v="Обед (работа)"/>
    <n v="175"/>
    <m/>
  </r>
  <r>
    <n v="20"/>
    <x v="4"/>
    <x v="130"/>
    <x v="2"/>
    <s v="Пополнение Цифрового.Портфеля"/>
    <n v="700"/>
    <m/>
  </r>
  <r>
    <n v="20"/>
    <x v="4"/>
    <x v="130"/>
    <x v="2"/>
    <s v="365 дней (цель)"/>
    <n v="76"/>
    <m/>
  </r>
  <r>
    <n v="20"/>
    <x v="4"/>
    <x v="130"/>
    <x v="2"/>
    <s v="Здоровье"/>
    <n v="200"/>
    <m/>
  </r>
  <r>
    <n v="20"/>
    <x v="4"/>
    <x v="130"/>
    <x v="2"/>
    <s v="Заначка"/>
    <n v="200"/>
    <m/>
  </r>
  <r>
    <n v="20"/>
    <x v="4"/>
    <x v="130"/>
    <x v="4"/>
    <s v="Еда"/>
    <n v="65"/>
    <m/>
  </r>
  <r>
    <n v="20"/>
    <x v="4"/>
    <x v="131"/>
    <x v="5"/>
    <s v="Прочее"/>
    <n v="104"/>
    <m/>
  </r>
  <r>
    <n v="20"/>
    <x v="4"/>
    <x v="131"/>
    <x v="4"/>
    <s v="Еда"/>
    <n v="834"/>
    <m/>
  </r>
  <r>
    <n v="21"/>
    <x v="4"/>
    <x v="132"/>
    <x v="2"/>
    <s v="365 дней (цель)"/>
    <n v="80"/>
    <m/>
  </r>
  <r>
    <n v="21"/>
    <x v="4"/>
    <x v="133"/>
    <x v="2"/>
    <s v="365 дней (цель)"/>
    <n v="52"/>
    <m/>
  </r>
  <r>
    <n v="21"/>
    <x v="4"/>
    <x v="133"/>
    <x v="3"/>
    <s v="Обед (работа)"/>
    <n v="240"/>
    <m/>
  </r>
  <r>
    <n v="21"/>
    <x v="4"/>
    <x v="133"/>
    <x v="3"/>
    <s v="Фаст-Фуд"/>
    <n v="433"/>
    <m/>
  </r>
  <r>
    <n v="21"/>
    <x v="4"/>
    <x v="133"/>
    <x v="0"/>
    <s v="Автобус"/>
    <n v="96"/>
    <m/>
  </r>
  <r>
    <n v="21"/>
    <x v="4"/>
    <x v="134"/>
    <x v="2"/>
    <s v="365 дней (цель)"/>
    <n v="54"/>
    <m/>
  </r>
  <r>
    <n v="21"/>
    <x v="4"/>
    <x v="134"/>
    <x v="3"/>
    <s v="Обед (работа)"/>
    <n v="132"/>
    <m/>
  </r>
  <r>
    <n v="21"/>
    <x v="4"/>
    <x v="134"/>
    <x v="4"/>
    <s v="еда"/>
    <n v="130"/>
    <m/>
  </r>
  <r>
    <n v="21"/>
    <x v="4"/>
    <x v="135"/>
    <x v="2"/>
    <s v="365 дней (цель)"/>
    <n v="56"/>
    <m/>
  </r>
  <r>
    <n v="21"/>
    <x v="4"/>
    <x v="135"/>
    <x v="7"/>
    <s v="Аптека"/>
    <n v="324"/>
    <m/>
  </r>
  <r>
    <n v="21"/>
    <x v="4"/>
    <x v="135"/>
    <x v="3"/>
    <s v="Обед (работа)"/>
    <n v="85"/>
    <m/>
  </r>
  <r>
    <n v="21"/>
    <x v="4"/>
    <x v="136"/>
    <x v="2"/>
    <s v="365 дней (цель)"/>
    <n v="58"/>
    <m/>
  </r>
  <r>
    <n v="21"/>
    <x v="4"/>
    <x v="136"/>
    <x v="0"/>
    <s v="Автобус"/>
    <n v="96"/>
    <m/>
  </r>
  <r>
    <n v="21"/>
    <x v="4"/>
    <x v="136"/>
    <x v="3"/>
    <s v="Обед (работа)"/>
    <n v="175"/>
    <m/>
  </r>
  <r>
    <n v="21"/>
    <x v="4"/>
    <x v="136"/>
    <x v="4"/>
    <s v="Еда"/>
    <n v="108"/>
    <m/>
  </r>
  <r>
    <n v="21"/>
    <x v="4"/>
    <x v="137"/>
    <x v="2"/>
    <s v="365 дней (цель)"/>
    <n v="60"/>
    <m/>
  </r>
  <r>
    <n v="21"/>
    <x v="4"/>
    <x v="137"/>
    <x v="0"/>
    <s v="Автобус"/>
    <n v="64"/>
    <m/>
  </r>
  <r>
    <n v="21"/>
    <x v="4"/>
    <x v="137"/>
    <x v="3"/>
    <s v="Обед (работа)"/>
    <n v="158"/>
    <m/>
  </r>
  <r>
    <n v="21"/>
    <x v="4"/>
    <x v="137"/>
    <x v="4"/>
    <s v="Еда"/>
    <n v="426"/>
    <m/>
  </r>
  <r>
    <n v="21"/>
    <x v="4"/>
    <x v="138"/>
    <x v="2"/>
    <s v="365 дней (цель)"/>
    <n v="62"/>
    <m/>
  </r>
  <r>
    <n v="21"/>
    <x v="4"/>
    <x v="138"/>
    <x v="0"/>
    <s v="Такси"/>
    <n v="104"/>
    <m/>
  </r>
  <r>
    <n v="21"/>
    <x v="4"/>
    <x v="138"/>
    <x v="3"/>
    <s v="Кофейня"/>
    <n v="119"/>
    <m/>
  </r>
  <r>
    <n v="22"/>
    <x v="4"/>
    <x v="139"/>
    <x v="0"/>
    <s v="Такси"/>
    <n v="208"/>
    <m/>
  </r>
  <r>
    <n v="22"/>
    <x v="4"/>
    <x v="139"/>
    <x v="0"/>
    <s v="Автобус"/>
    <n v="64"/>
    <m/>
  </r>
  <r>
    <n v="22"/>
    <x v="4"/>
    <x v="139"/>
    <x v="3"/>
    <s v="Сладости"/>
    <n v="230"/>
    <m/>
  </r>
  <r>
    <n v="22"/>
    <x v="4"/>
    <x v="140"/>
    <x v="3"/>
    <s v="Обед (работа)"/>
    <n v="100"/>
    <m/>
  </r>
  <r>
    <n v="22"/>
    <x v="4"/>
    <x v="140"/>
    <x v="3"/>
    <s v="Перекус"/>
    <n v="75"/>
    <m/>
  </r>
  <r>
    <n v="22"/>
    <x v="4"/>
    <x v="140"/>
    <x v="8"/>
    <s v="Мобил.инет"/>
    <n v="285"/>
    <m/>
  </r>
  <r>
    <n v="22"/>
    <x v="4"/>
    <x v="140"/>
    <x v="4"/>
    <s v="Еда"/>
    <n v="334"/>
    <m/>
  </r>
  <r>
    <n v="22"/>
    <x v="4"/>
    <x v="140"/>
    <x v="2"/>
    <m/>
    <n v="16"/>
    <m/>
  </r>
  <r>
    <n v="22"/>
    <x v="4"/>
    <x v="141"/>
    <x v="0"/>
    <s v="Автобус"/>
    <n v="96"/>
    <m/>
  </r>
  <r>
    <n v="22"/>
    <x v="4"/>
    <x v="141"/>
    <x v="3"/>
    <s v="Обед (работа)"/>
    <n v="120"/>
    <m/>
  </r>
  <r>
    <n v="22"/>
    <x v="4"/>
    <x v="141"/>
    <x v="2"/>
    <s v="365 дней (цель)"/>
    <n v="46"/>
    <m/>
  </r>
  <r>
    <n v="22"/>
    <x v="4"/>
    <x v="141"/>
    <x v="4"/>
    <s v="Еда"/>
    <n v="153"/>
    <m/>
  </r>
  <r>
    <n v="22"/>
    <x v="4"/>
    <x v="142"/>
    <x v="0"/>
    <s v="Автобус"/>
    <n v="32"/>
    <m/>
  </r>
  <r>
    <n v="22"/>
    <x v="4"/>
    <x v="142"/>
    <x v="3"/>
    <s v="Обед (работа)"/>
    <n v="275"/>
    <m/>
  </r>
  <r>
    <n v="22"/>
    <x v="4"/>
    <x v="142"/>
    <x v="3"/>
    <s v="Перекус"/>
    <n v="25"/>
    <m/>
  </r>
  <r>
    <n v="22"/>
    <x v="4"/>
    <x v="142"/>
    <x v="6"/>
    <m/>
    <n v="50"/>
    <m/>
  </r>
  <r>
    <n v="22"/>
    <x v="4"/>
    <x v="142"/>
    <x v="4"/>
    <s v="Еда"/>
    <n v="71"/>
    <m/>
  </r>
  <r>
    <n v="22"/>
    <x v="4"/>
    <x v="143"/>
    <x v="3"/>
    <s v="Обед (работа)"/>
    <n v="201"/>
    <m/>
  </r>
  <r>
    <n v="22"/>
    <x v="4"/>
    <x v="143"/>
    <x v="4"/>
    <s v="Еда"/>
    <n v="111"/>
    <m/>
  </r>
  <r>
    <n v="22"/>
    <x v="4"/>
    <x v="144"/>
    <x v="0"/>
    <s v="Автобус"/>
    <n v="32"/>
    <m/>
  </r>
  <r>
    <n v="22"/>
    <x v="4"/>
    <x v="144"/>
    <x v="3"/>
    <s v="Обед (работа)"/>
    <n v="128"/>
    <m/>
  </r>
  <r>
    <n v="22"/>
    <x v="4"/>
    <x v="144"/>
    <x v="1"/>
    <s v="Алкоголь"/>
    <n v="490"/>
    <m/>
  </r>
  <r>
    <n v="22"/>
    <x v="4"/>
    <x v="145"/>
    <x v="5"/>
    <s v="Прочее"/>
    <n v="753"/>
    <m/>
  </r>
  <r>
    <n v="22"/>
    <x v="4"/>
    <x v="145"/>
    <x v="2"/>
    <s v="Заначка"/>
    <n v="500"/>
    <m/>
  </r>
  <r>
    <n v="22"/>
    <x v="4"/>
    <x v="145"/>
    <x v="4"/>
    <s v="Еда"/>
    <n v="244"/>
    <m/>
  </r>
  <r>
    <n v="22"/>
    <x v="4"/>
    <x v="145"/>
    <x v="7"/>
    <s v="Уход за собой"/>
    <n v="109"/>
    <m/>
  </r>
  <r>
    <n v="23"/>
    <x v="4"/>
    <x v="146"/>
    <x v="0"/>
    <s v="Такси"/>
    <n v="471"/>
    <m/>
  </r>
  <r>
    <n v="23"/>
    <x v="4"/>
    <x v="146"/>
    <x v="4"/>
    <s v="Еда"/>
    <n v="361"/>
    <m/>
  </r>
  <r>
    <n v="23"/>
    <x v="4"/>
    <x v="147"/>
    <x v="3"/>
    <s v="Обед (работа)"/>
    <n v="100"/>
    <m/>
  </r>
  <r>
    <n v="23"/>
    <x v="4"/>
    <x v="147"/>
    <x v="3"/>
    <s v="Перекус"/>
    <n v="314"/>
    <m/>
  </r>
  <r>
    <n v="23"/>
    <x v="4"/>
    <x v="147"/>
    <x v="2"/>
    <s v="Заначка"/>
    <n v="200"/>
    <m/>
  </r>
  <r>
    <n v="23"/>
    <x v="4"/>
    <x v="147"/>
    <x v="2"/>
    <s v="Финансовая  подушка"/>
    <n v="100"/>
    <m/>
  </r>
  <r>
    <n v="23"/>
    <x v="4"/>
    <x v="147"/>
    <x v="8"/>
    <s v="Интернет"/>
    <n v="240"/>
    <m/>
  </r>
  <r>
    <n v="23"/>
    <x v="4"/>
    <x v="147"/>
    <x v="9"/>
    <s v="Друзья"/>
    <n v="110"/>
    <m/>
  </r>
  <r>
    <n v="23"/>
    <x v="4"/>
    <x v="147"/>
    <x v="7"/>
    <s v="Аптека"/>
    <n v="374"/>
    <m/>
  </r>
  <r>
    <n v="23"/>
    <x v="4"/>
    <x v="147"/>
    <x v="2"/>
    <s v="Пополнение Инвест.Портфеля"/>
    <n v="500"/>
    <m/>
  </r>
  <r>
    <n v="23"/>
    <x v="4"/>
    <x v="147"/>
    <x v="4"/>
    <s v="Еда"/>
    <n v="56"/>
    <m/>
  </r>
  <r>
    <n v="23"/>
    <x v="4"/>
    <x v="148"/>
    <x v="2"/>
    <s v="365 дней (цель)"/>
    <n v="52"/>
    <m/>
  </r>
  <r>
    <n v="23"/>
    <x v="4"/>
    <x v="148"/>
    <x v="9"/>
    <s v="Работа"/>
    <n v="100"/>
    <m/>
  </r>
  <r>
    <n v="23"/>
    <x v="4"/>
    <x v="148"/>
    <x v="3"/>
    <s v="Обед (работа)"/>
    <n v="145"/>
    <m/>
  </r>
  <r>
    <n v="23"/>
    <x v="4"/>
    <x v="148"/>
    <x v="4"/>
    <s v="Еда"/>
    <n v="200"/>
    <m/>
  </r>
  <r>
    <n v="23"/>
    <x v="4"/>
    <x v="148"/>
    <x v="0"/>
    <s v="Автобус"/>
    <n v="32"/>
    <m/>
  </r>
  <r>
    <n v="23"/>
    <x v="4"/>
    <x v="148"/>
    <x v="7"/>
    <s v="Уход за собой"/>
    <n v="190"/>
    <m/>
  </r>
  <r>
    <n v="23"/>
    <x v="5"/>
    <x v="149"/>
    <x v="2"/>
    <s v="365 дней (цель)"/>
    <n v="54"/>
    <m/>
  </r>
  <r>
    <n v="23"/>
    <x v="5"/>
    <x v="149"/>
    <x v="3"/>
    <s v="Обед (работа)"/>
    <n v="157"/>
    <m/>
  </r>
  <r>
    <n v="23"/>
    <x v="5"/>
    <x v="149"/>
    <x v="3"/>
    <s v="Сладости"/>
    <n v="55"/>
    <m/>
  </r>
  <r>
    <n v="23"/>
    <x v="5"/>
    <x v="150"/>
    <x v="2"/>
    <s v="365 дней (цель)"/>
    <n v="56"/>
    <m/>
  </r>
  <r>
    <n v="23"/>
    <x v="5"/>
    <x v="150"/>
    <x v="3"/>
    <s v="Обед (работа)"/>
    <n v="117"/>
    <m/>
  </r>
  <r>
    <n v="23"/>
    <x v="5"/>
    <x v="150"/>
    <x v="5"/>
    <s v="Прочее"/>
    <n v="156"/>
    <m/>
  </r>
  <r>
    <n v="23"/>
    <x v="5"/>
    <x v="150"/>
    <x v="4"/>
    <s v="Еда"/>
    <n v="268"/>
    <m/>
  </r>
  <r>
    <n v="23"/>
    <x v="5"/>
    <x v="151"/>
    <x v="2"/>
    <s v="365 дней (цель)"/>
    <n v="58"/>
    <m/>
  </r>
  <r>
    <n v="23"/>
    <x v="5"/>
    <x v="151"/>
    <x v="0"/>
    <s v="Автобус"/>
    <n v="64"/>
    <m/>
  </r>
  <r>
    <n v="23"/>
    <x v="5"/>
    <x v="151"/>
    <x v="4"/>
    <s v="Еда"/>
    <n v="108"/>
    <m/>
  </r>
  <r>
    <n v="23"/>
    <x v="5"/>
    <x v="151"/>
    <x v="0"/>
    <s v="Межгород"/>
    <n v="60"/>
    <m/>
  </r>
  <r>
    <n v="23"/>
    <x v="5"/>
    <x v="151"/>
    <x v="3"/>
    <s v="Фаст-Фуд"/>
    <n v="283"/>
    <m/>
  </r>
  <r>
    <n v="23"/>
    <x v="5"/>
    <x v="151"/>
    <x v="3"/>
    <s v="Сладости"/>
    <n v="62"/>
    <m/>
  </r>
  <r>
    <n v="23"/>
    <x v="5"/>
    <x v="151"/>
    <x v="3"/>
    <s v="Сладости"/>
    <n v="55"/>
    <m/>
  </r>
  <r>
    <n v="23"/>
    <x v="5"/>
    <x v="151"/>
    <x v="3"/>
    <s v="Кофейня"/>
    <n v="210"/>
    <m/>
  </r>
  <r>
    <n v="23"/>
    <x v="5"/>
    <x v="152"/>
    <x v="2"/>
    <s v="365 дней (цель)"/>
    <n v="60"/>
    <m/>
  </r>
  <r>
    <n v="23"/>
    <x v="5"/>
    <x v="152"/>
    <x v="0"/>
    <s v="Межгород"/>
    <n v="200"/>
    <m/>
  </r>
  <r>
    <n v="23"/>
    <x v="5"/>
    <x v="152"/>
    <x v="1"/>
    <s v="Алкоголь"/>
    <n v="444"/>
    <m/>
  </r>
  <r>
    <n v="23"/>
    <x v="5"/>
    <x v="152"/>
    <x v="0"/>
    <s v="Автобус"/>
    <n v="233"/>
    <m/>
  </r>
  <r>
    <n v="23"/>
    <x v="5"/>
    <x v="152"/>
    <x v="0"/>
    <s v="Автобус"/>
    <n v="32"/>
    <m/>
  </r>
  <r>
    <n v="24"/>
    <x v="5"/>
    <x v="153"/>
    <x v="0"/>
    <s v="Межгород"/>
    <n v="277"/>
    <m/>
  </r>
  <r>
    <n v="24"/>
    <x v="5"/>
    <x v="153"/>
    <x v="3"/>
    <s v="Кофейня"/>
    <n v="62"/>
    <m/>
  </r>
  <r>
    <n v="24"/>
    <x v="5"/>
    <x v="153"/>
    <x v="3"/>
    <s v="Сладости"/>
    <n v="412"/>
    <m/>
  </r>
  <r>
    <n v="24"/>
    <x v="5"/>
    <x v="154"/>
    <x v="2"/>
    <s v="365 дней (цель)"/>
    <n v="62"/>
    <m/>
  </r>
  <r>
    <n v="24"/>
    <x v="5"/>
    <x v="154"/>
    <x v="3"/>
    <s v="Перекус"/>
    <n v="100"/>
    <m/>
  </r>
  <r>
    <n v="24"/>
    <x v="5"/>
    <x v="154"/>
    <x v="0"/>
    <s v="Автобус"/>
    <n v="64"/>
    <m/>
  </r>
  <r>
    <n v="24"/>
    <x v="5"/>
    <x v="154"/>
    <x v="3"/>
    <s v="Обед (работа)"/>
    <n v="81"/>
    <m/>
  </r>
  <r>
    <n v="24"/>
    <x v="5"/>
    <x v="155"/>
    <x v="3"/>
    <s v="Обед (работа)"/>
    <n v="126"/>
    <m/>
  </r>
  <r>
    <n v="24"/>
    <x v="5"/>
    <x v="155"/>
    <x v="4"/>
    <s v="Еда"/>
    <n v="204"/>
    <m/>
  </r>
  <r>
    <n v="24"/>
    <x v="5"/>
    <x v="156"/>
    <x v="0"/>
    <s v="Автобус"/>
    <n v="32"/>
    <m/>
  </r>
  <r>
    <n v="24"/>
    <x v="5"/>
    <x v="156"/>
    <x v="3"/>
    <s v="Обед (работа)"/>
    <n v="72"/>
    <m/>
  </r>
  <r>
    <n v="24"/>
    <x v="5"/>
    <x v="156"/>
    <x v="4"/>
    <s v="Еда"/>
    <n v="58"/>
    <m/>
  </r>
  <r>
    <n v="24"/>
    <x v="5"/>
    <x v="157"/>
    <x v="2"/>
    <s v="365 дней (цель)"/>
    <n v="93"/>
    <m/>
  </r>
  <r>
    <n v="24"/>
    <x v="5"/>
    <x v="157"/>
    <x v="3"/>
    <s v="Обед (работа)"/>
    <n v="135"/>
    <m/>
  </r>
  <r>
    <n v="24"/>
    <x v="5"/>
    <x v="158"/>
    <x v="3"/>
    <s v="Перекус"/>
    <n v="61"/>
    <m/>
  </r>
  <r>
    <n v="24"/>
    <x v="5"/>
    <x v="158"/>
    <x v="3"/>
    <s v="Обед (работа)"/>
    <n v="73"/>
    <m/>
  </r>
  <r>
    <n v="24"/>
    <x v="5"/>
    <x v="158"/>
    <x v="4"/>
    <s v="Еда"/>
    <n v="191"/>
    <m/>
  </r>
  <r>
    <n v="24"/>
    <x v="5"/>
    <x v="159"/>
    <x v="3"/>
    <s v="Обед (работа)"/>
    <n v="152"/>
    <m/>
  </r>
  <r>
    <n v="24"/>
    <x v="5"/>
    <x v="159"/>
    <x v="4"/>
    <s v="Еда"/>
    <n v="107"/>
    <m/>
  </r>
  <r>
    <n v="25"/>
    <x v="5"/>
    <x v="160"/>
    <x v="0"/>
    <s v="Автобус"/>
    <n v="64"/>
    <m/>
  </r>
  <r>
    <n v="25"/>
    <x v="5"/>
    <x v="160"/>
    <x v="3"/>
    <s v="Перекус"/>
    <n v="545"/>
    <m/>
  </r>
  <r>
    <n v="25"/>
    <x v="5"/>
    <x v="160"/>
    <x v="4"/>
    <s v="Еда"/>
    <n v="61"/>
    <m/>
  </r>
  <r>
    <n v="25"/>
    <x v="5"/>
    <x v="161"/>
    <x v="0"/>
    <s v="Автобус"/>
    <n v="64"/>
    <m/>
  </r>
  <r>
    <n v="25"/>
    <x v="5"/>
    <x v="161"/>
    <x v="4"/>
    <s v="Еда"/>
    <n v="261"/>
    <m/>
  </r>
  <r>
    <n v="25"/>
    <x v="5"/>
    <x v="162"/>
    <x v="3"/>
    <s v="Обед (работа)"/>
    <n v="124"/>
    <m/>
  </r>
  <r>
    <n v="25"/>
    <x v="5"/>
    <x v="162"/>
    <x v="3"/>
    <s v="Сладости"/>
    <n v="95"/>
    <m/>
  </r>
  <r>
    <n v="25"/>
    <x v="5"/>
    <x v="163"/>
    <x v="3"/>
    <s v="Обед (работа)"/>
    <n v="88"/>
    <m/>
  </r>
  <r>
    <n v="25"/>
    <x v="5"/>
    <x v="163"/>
    <x v="9"/>
    <s v="Работа"/>
    <n v="100"/>
    <m/>
  </r>
  <r>
    <n v="25"/>
    <x v="5"/>
    <x v="163"/>
    <x v="7"/>
    <s v="Уход за собой"/>
    <n v="1031"/>
    <m/>
  </r>
  <r>
    <n v="25"/>
    <x v="5"/>
    <x v="163"/>
    <x v="4"/>
    <s v="Еда"/>
    <n v="755"/>
    <m/>
  </r>
  <r>
    <n v="25"/>
    <x v="5"/>
    <x v="163"/>
    <x v="5"/>
    <s v="Прочее"/>
    <n v="420"/>
    <m/>
  </r>
  <r>
    <n v="25"/>
    <x v="5"/>
    <x v="163"/>
    <x v="2"/>
    <s v="Психолог"/>
    <n v="500"/>
    <m/>
  </r>
  <r>
    <n v="25"/>
    <x v="5"/>
    <x v="163"/>
    <x v="2"/>
    <s v="Здоровье"/>
    <n v="200"/>
    <m/>
  </r>
  <r>
    <n v="25"/>
    <x v="5"/>
    <x v="163"/>
    <x v="2"/>
    <s v="Обучение"/>
    <n v="100"/>
    <m/>
  </r>
  <r>
    <n v="25"/>
    <x v="5"/>
    <x v="164"/>
    <x v="0"/>
    <s v="Автобус"/>
    <n v="32"/>
    <m/>
  </r>
  <r>
    <n v="25"/>
    <x v="5"/>
    <x v="164"/>
    <x v="0"/>
    <s v="Такси"/>
    <n v="231"/>
    <m/>
  </r>
  <r>
    <n v="25"/>
    <x v="5"/>
    <x v="164"/>
    <x v="3"/>
    <s v="Обед (работа)"/>
    <n v="106"/>
    <m/>
  </r>
  <r>
    <n v="25"/>
    <x v="5"/>
    <x v="164"/>
    <x v="9"/>
    <s v="Работа"/>
    <n v="100"/>
    <m/>
  </r>
  <r>
    <n v="25"/>
    <x v="5"/>
    <x v="165"/>
    <x v="3"/>
    <s v="Обед (работа)"/>
    <n v="275"/>
    <m/>
  </r>
  <r>
    <n v="25"/>
    <x v="5"/>
    <x v="165"/>
    <x v="3"/>
    <s v="Сладости"/>
    <n v="60"/>
    <m/>
  </r>
  <r>
    <n v="25"/>
    <x v="5"/>
    <x v="165"/>
    <x v="4"/>
    <s v="Еда"/>
    <n v="409"/>
    <m/>
  </r>
  <r>
    <n v="25"/>
    <x v="5"/>
    <x v="165"/>
    <x v="3"/>
    <s v="Кофейня"/>
    <n v="31"/>
    <m/>
  </r>
  <r>
    <n v="25"/>
    <x v="5"/>
    <x v="166"/>
    <x v="0"/>
    <s v="Автобус"/>
    <n v="32"/>
    <m/>
  </r>
  <r>
    <n v="25"/>
    <x v="5"/>
    <x v="166"/>
    <x v="3"/>
    <s v="Обед (работа)"/>
    <n v="242"/>
    <m/>
  </r>
  <r>
    <n v="25"/>
    <x v="5"/>
    <x v="166"/>
    <x v="4"/>
    <s v="еда"/>
    <n v="90"/>
    <m/>
  </r>
  <r>
    <n v="26"/>
    <x v="5"/>
    <x v="167"/>
    <x v="0"/>
    <s v="Такси"/>
    <n v="527"/>
    <m/>
  </r>
  <r>
    <n v="26"/>
    <x v="5"/>
    <x v="167"/>
    <x v="3"/>
    <s v="Сладости"/>
    <n v="90"/>
    <m/>
  </r>
  <r>
    <n v="26"/>
    <x v="5"/>
    <x v="168"/>
    <x v="3"/>
    <s v="Обед (работа)"/>
    <n v="71"/>
    <m/>
  </r>
  <r>
    <n v="26"/>
    <x v="5"/>
    <x v="168"/>
    <x v="8"/>
    <s v="Мобил.инет"/>
    <n v="100"/>
    <m/>
  </r>
  <r>
    <n v="26"/>
    <x v="5"/>
    <x v="168"/>
    <x v="6"/>
    <m/>
    <n v="100"/>
    <m/>
  </r>
  <r>
    <n v="26"/>
    <x v="5"/>
    <x v="168"/>
    <x v="4"/>
    <s v="еда"/>
    <n v="321"/>
    <m/>
  </r>
  <r>
    <n v="26"/>
    <x v="5"/>
    <x v="169"/>
    <x v="0"/>
    <s v="Автобус"/>
    <n v="32"/>
    <m/>
  </r>
  <r>
    <n v="26"/>
    <x v="5"/>
    <x v="169"/>
    <x v="3"/>
    <s v="Обед (работа)"/>
    <n v="109"/>
    <m/>
  </r>
  <r>
    <n v="26"/>
    <x v="5"/>
    <x v="169"/>
    <x v="4"/>
    <s v="еда"/>
    <n v="260"/>
    <m/>
  </r>
  <r>
    <n v="26"/>
    <x v="5"/>
    <x v="170"/>
    <x v="3"/>
    <s v="Обед (работа)"/>
    <n v="103"/>
    <m/>
  </r>
  <r>
    <n v="26"/>
    <x v="5"/>
    <x v="170"/>
    <x v="4"/>
    <s v="Еда"/>
    <n v="219"/>
    <m/>
  </r>
  <r>
    <n v="26"/>
    <x v="5"/>
    <x v="171"/>
    <x v="8"/>
    <s v="Интернет"/>
    <n v="310"/>
    <m/>
  </r>
  <r>
    <n v="26"/>
    <x v="5"/>
    <x v="171"/>
    <x v="3"/>
    <s v="Обед (работа)"/>
    <n v="180"/>
    <m/>
  </r>
  <r>
    <n v="26"/>
    <x v="5"/>
    <x v="171"/>
    <x v="2"/>
    <s v="Обучение"/>
    <n v="500"/>
    <s v="с visa"/>
  </r>
  <r>
    <n v="26"/>
    <x v="5"/>
    <x v="171"/>
    <x v="2"/>
    <s v="Обучение"/>
    <n v="100"/>
    <m/>
  </r>
  <r>
    <n v="26"/>
    <x v="5"/>
    <x v="171"/>
    <x v="2"/>
    <s v="Психолог"/>
    <n v="100"/>
    <m/>
  </r>
  <r>
    <n v="26"/>
    <x v="5"/>
    <x v="171"/>
    <x v="3"/>
    <s v="Перекус"/>
    <n v="37"/>
    <m/>
  </r>
  <r>
    <n v="26"/>
    <x v="5"/>
    <x v="171"/>
    <x v="0"/>
    <s v="Метро"/>
    <n v="32"/>
    <m/>
  </r>
  <r>
    <n v="26"/>
    <x v="5"/>
    <x v="171"/>
    <x v="0"/>
    <s v="Автобус"/>
    <n v="32"/>
    <m/>
  </r>
  <r>
    <n v="26"/>
    <x v="5"/>
    <x v="171"/>
    <x v="1"/>
    <s v="Алкоголь"/>
    <n v="710"/>
    <m/>
  </r>
  <r>
    <n v="26"/>
    <x v="5"/>
    <x v="171"/>
    <x v="4"/>
    <s v="Еда"/>
    <n v="107"/>
    <m/>
  </r>
  <r>
    <n v="26"/>
    <x v="5"/>
    <x v="172"/>
    <x v="0"/>
    <s v="Автобус"/>
    <n v="32"/>
    <m/>
  </r>
  <r>
    <n v="26"/>
    <x v="5"/>
    <x v="172"/>
    <x v="3"/>
    <s v="Обед (работа)"/>
    <n v="142"/>
    <m/>
  </r>
  <r>
    <n v="26"/>
    <x v="5"/>
    <x v="172"/>
    <x v="4"/>
    <s v="еда"/>
    <n v="95"/>
    <m/>
  </r>
  <r>
    <n v="26"/>
    <x v="5"/>
    <x v="172"/>
    <x v="7"/>
    <s v="Проф.услуги"/>
    <n v="144"/>
    <m/>
  </r>
  <r>
    <n v="26"/>
    <x v="5"/>
    <x v="173"/>
    <x v="8"/>
    <s v="Интернет"/>
    <n v="25"/>
    <m/>
  </r>
  <r>
    <n v="26"/>
    <x v="5"/>
    <x v="173"/>
    <x v="0"/>
    <s v="Такси"/>
    <n v="383"/>
    <m/>
  </r>
  <r>
    <n v="26"/>
    <x v="5"/>
    <x v="173"/>
    <x v="3"/>
    <s v="Перекус"/>
    <n v="400"/>
    <m/>
  </r>
  <r>
    <n v="26"/>
    <x v="5"/>
    <x v="173"/>
    <x v="0"/>
    <s v="Такси"/>
    <n v="150"/>
    <m/>
  </r>
  <r>
    <n v="27"/>
    <x v="5"/>
    <x v="174"/>
    <x v="0"/>
    <s v="Автобус"/>
    <n v="64"/>
    <m/>
  </r>
  <r>
    <n v="27"/>
    <x v="5"/>
    <x v="174"/>
    <x v="5"/>
    <s v="Одежда"/>
    <n v="1800"/>
    <m/>
  </r>
  <r>
    <n v="27"/>
    <x v="5"/>
    <x v="174"/>
    <x v="3"/>
    <s v="Перекус"/>
    <n v="90"/>
    <m/>
  </r>
  <r>
    <n v="27"/>
    <x v="5"/>
    <x v="174"/>
    <x v="0"/>
    <s v="Такси"/>
    <n v="327"/>
    <m/>
  </r>
  <r>
    <n v="27"/>
    <x v="5"/>
    <x v="175"/>
    <x v="3"/>
    <s v="Обед (работа)"/>
    <n v="150"/>
    <m/>
  </r>
  <r>
    <n v="27"/>
    <x v="5"/>
    <x v="175"/>
    <x v="3"/>
    <s v="Перекус"/>
    <n v="205"/>
    <m/>
  </r>
  <r>
    <n v="27"/>
    <x v="5"/>
    <x v="176"/>
    <x v="0"/>
    <s v="Автобус"/>
    <n v="128"/>
    <m/>
  </r>
  <r>
    <n v="27"/>
    <x v="5"/>
    <x v="176"/>
    <x v="3"/>
    <s v="Обед (работа)"/>
    <n v="281"/>
    <m/>
  </r>
  <r>
    <n v="27"/>
    <x v="5"/>
    <x v="176"/>
    <x v="3"/>
    <s v="Кофейня"/>
    <n v="140"/>
    <m/>
  </r>
  <r>
    <n v="27"/>
    <x v="5"/>
    <x v="177"/>
    <x v="3"/>
    <s v="Обед (работа)"/>
    <n v="302"/>
    <m/>
  </r>
  <r>
    <n v="27"/>
    <x v="5"/>
    <x v="177"/>
    <x v="5"/>
    <s v="Прочее"/>
    <n v="100"/>
    <m/>
  </r>
  <r>
    <n v="27"/>
    <x v="5"/>
    <x v="177"/>
    <x v="2"/>
    <s v="Психолог"/>
    <n v="50"/>
    <s v="visa"/>
  </r>
  <r>
    <n v="27"/>
    <x v="5"/>
    <x v="177"/>
    <x v="2"/>
    <s v="Пополнение Инвест.Портфеля"/>
    <n v="200"/>
    <s v="visa"/>
  </r>
  <r>
    <n v="27"/>
    <x v="5"/>
    <x v="177"/>
    <x v="2"/>
    <s v="Здоровье"/>
    <n v="100"/>
    <s v="visa"/>
  </r>
  <r>
    <n v="27"/>
    <x v="5"/>
    <x v="177"/>
    <x v="2"/>
    <s v="Обучение"/>
    <n v="50"/>
    <s v="visa"/>
  </r>
  <r>
    <n v="27"/>
    <x v="5"/>
    <x v="177"/>
    <x v="4"/>
    <s v="Еда"/>
    <n v="543"/>
    <m/>
  </r>
  <r>
    <n v="27"/>
    <x v="5"/>
    <x v="178"/>
    <x v="0"/>
    <s v="Автобус"/>
    <n v="32"/>
    <m/>
  </r>
  <r>
    <n v="27"/>
    <x v="5"/>
    <x v="178"/>
    <x v="3"/>
    <s v="Обед (работа)"/>
    <n v="202"/>
    <s v="visa"/>
  </r>
  <r>
    <n v="27"/>
    <x v="5"/>
    <x v="178"/>
    <x v="0"/>
    <s v="Такси"/>
    <n v="499"/>
    <s v="visa"/>
  </r>
  <r>
    <n v="27"/>
    <x v="5"/>
    <x v="178"/>
    <x v="2"/>
    <s v="Обучение"/>
    <n v="200"/>
    <m/>
  </r>
  <r>
    <n v="27"/>
    <x v="5"/>
    <x v="178"/>
    <x v="2"/>
    <m/>
    <n v="200"/>
    <m/>
  </r>
  <r>
    <n v="27"/>
    <x v="5"/>
    <x v="178"/>
    <x v="2"/>
    <s v="Здоровье"/>
    <n v="200"/>
    <m/>
  </r>
  <r>
    <n v="27"/>
    <x v="5"/>
    <x v="178"/>
    <x v="2"/>
    <s v="Обучение"/>
    <n v="100"/>
    <m/>
  </r>
  <r>
    <n v="27"/>
    <x v="5"/>
    <x v="178"/>
    <x v="2"/>
    <s v="Пополнение Инвест.Портфеля"/>
    <n v="390"/>
    <m/>
  </r>
  <r>
    <n v="27"/>
    <x v="5"/>
    <x v="178"/>
    <x v="4"/>
    <s v="Еда"/>
    <n v="825"/>
    <m/>
  </r>
  <r>
    <n v="27"/>
    <x v="5"/>
    <x v="178"/>
    <x v="8"/>
    <s v="Мобил.инет"/>
    <n v="240"/>
    <m/>
  </r>
  <r>
    <n v="27"/>
    <x v="6"/>
    <x v="179"/>
    <x v="0"/>
    <s v="Такси"/>
    <n v="564"/>
    <m/>
  </r>
  <r>
    <n v="27"/>
    <x v="6"/>
    <x v="179"/>
    <x v="3"/>
    <s v="Обед (работа)"/>
    <n v="127"/>
    <m/>
  </r>
  <r>
    <n v="27"/>
    <x v="6"/>
    <x v="179"/>
    <x v="4"/>
    <s v="еда"/>
    <n v="165"/>
    <m/>
  </r>
  <r>
    <n v="27"/>
    <x v="6"/>
    <x v="180"/>
    <x v="1"/>
    <s v="Активный"/>
    <n v="1000"/>
    <m/>
  </r>
  <r>
    <n v="27"/>
    <x v="6"/>
    <x v="180"/>
    <x v="0"/>
    <s v="Такси"/>
    <n v="542"/>
    <m/>
  </r>
  <r>
    <n v="28"/>
    <x v="6"/>
    <x v="181"/>
    <x v="5"/>
    <s v="Прочее"/>
    <n v="533"/>
    <m/>
  </r>
  <r>
    <n v="28"/>
    <x v="6"/>
    <x v="181"/>
    <x v="5"/>
    <s v="Прочее"/>
    <n v="206"/>
    <s v="visa"/>
  </r>
  <r>
    <n v="28"/>
    <x v="6"/>
    <x v="181"/>
    <x v="5"/>
    <s v="Одежда"/>
    <n v="1048"/>
    <m/>
  </r>
  <r>
    <n v="28"/>
    <x v="6"/>
    <x v="181"/>
    <x v="4"/>
    <s v="Еда"/>
    <n v="297"/>
    <m/>
  </r>
  <r>
    <n v="28"/>
    <x v="6"/>
    <x v="181"/>
    <x v="1"/>
    <s v="Активный"/>
    <n v="800"/>
    <m/>
  </r>
  <r>
    <n v="28"/>
    <x v="6"/>
    <x v="181"/>
    <x v="0"/>
    <s v="Автобус"/>
    <n v="32"/>
    <m/>
  </r>
  <r>
    <n v="28"/>
    <x v="6"/>
    <x v="181"/>
    <x v="3"/>
    <s v="Кофейня"/>
    <n v="65"/>
    <m/>
  </r>
  <r>
    <n v="28"/>
    <x v="6"/>
    <x v="182"/>
    <x v="0"/>
    <s v="Такси"/>
    <n v="285"/>
    <s v="visa"/>
  </r>
  <r>
    <n v="28"/>
    <x v="6"/>
    <x v="182"/>
    <x v="3"/>
    <s v="Обед (работа)"/>
    <n v="107"/>
    <m/>
  </r>
  <r>
    <n v="28"/>
    <x v="6"/>
    <x v="183"/>
    <x v="0"/>
    <s v="Такси"/>
    <n v="238"/>
    <s v="visa"/>
  </r>
  <r>
    <n v="28"/>
    <x v="6"/>
    <x v="183"/>
    <x v="3"/>
    <s v="Обед (работа)"/>
    <n v="113"/>
    <m/>
  </r>
  <r>
    <n v="28"/>
    <x v="6"/>
    <x v="183"/>
    <x v="0"/>
    <s v="Автобус"/>
    <n v="32"/>
    <m/>
  </r>
  <r>
    <n v="28"/>
    <x v="6"/>
    <x v="183"/>
    <x v="4"/>
    <s v="еда"/>
    <n v="744"/>
    <m/>
  </r>
  <r>
    <n v="28"/>
    <x v="6"/>
    <x v="184"/>
    <x v="0"/>
    <s v="Такси"/>
    <n v="64"/>
    <m/>
  </r>
  <r>
    <n v="28"/>
    <x v="6"/>
    <x v="184"/>
    <x v="3"/>
    <s v="Обед (работа)"/>
    <n v="275"/>
    <m/>
  </r>
  <r>
    <n v="28"/>
    <x v="6"/>
    <x v="184"/>
    <x v="3"/>
    <s v="Кофейня"/>
    <n v="40"/>
    <m/>
  </r>
  <r>
    <n v="28"/>
    <x v="6"/>
    <x v="185"/>
    <x v="0"/>
    <s v="Автобус"/>
    <n v="96"/>
    <m/>
  </r>
  <r>
    <n v="28"/>
    <x v="6"/>
    <x v="185"/>
    <x v="3"/>
    <s v="Обед (работа)"/>
    <n v="240"/>
    <m/>
  </r>
  <r>
    <n v="28"/>
    <x v="6"/>
    <x v="185"/>
    <x v="7"/>
    <s v="Уход за собой"/>
    <n v="395"/>
    <m/>
  </r>
  <r>
    <n v="28"/>
    <x v="6"/>
    <x v="185"/>
    <x v="7"/>
    <s v="Аптека"/>
    <n v="22"/>
    <m/>
  </r>
  <r>
    <n v="28"/>
    <x v="6"/>
    <x v="185"/>
    <x v="4"/>
    <s v="Еда"/>
    <n v="311"/>
    <m/>
  </r>
  <r>
    <n v="28"/>
    <x v="6"/>
    <x v="185"/>
    <x v="3"/>
    <s v="Сладости"/>
    <n v="50"/>
    <m/>
  </r>
  <r>
    <n v="28"/>
    <x v="6"/>
    <x v="186"/>
    <x v="0"/>
    <s v="Автобус"/>
    <n v="96"/>
    <m/>
  </r>
  <r>
    <n v="28"/>
    <x v="6"/>
    <x v="186"/>
    <x v="3"/>
    <s v="Обед (работа)"/>
    <n v="94"/>
    <m/>
  </r>
  <r>
    <n v="28"/>
    <x v="6"/>
    <x v="186"/>
    <x v="4"/>
    <s v="Бар"/>
    <n v="75"/>
    <m/>
  </r>
  <r>
    <n v="28"/>
    <x v="6"/>
    <x v="186"/>
    <x v="0"/>
    <s v="Межгород"/>
    <n v="264"/>
    <m/>
  </r>
  <r>
    <n v="28"/>
    <x v="6"/>
    <x v="186"/>
    <x v="3"/>
    <s v="Фаст-Фуд"/>
    <n v="447"/>
    <m/>
  </r>
  <r>
    <n v="28"/>
    <x v="6"/>
    <x v="187"/>
    <x v="0"/>
    <s v="Межгород"/>
    <n v="264"/>
    <m/>
  </r>
  <r>
    <n v="28"/>
    <x v="6"/>
    <x v="187"/>
    <x v="0"/>
    <s v="Автобус"/>
    <n v="32"/>
    <m/>
  </r>
  <r>
    <n v="29"/>
    <x v="6"/>
    <x v="188"/>
    <x v="0"/>
    <s v="Автобус"/>
    <n v="64"/>
    <m/>
  </r>
  <r>
    <n v="29"/>
    <x v="6"/>
    <x v="188"/>
    <x v="3"/>
    <s v="Фаст-Фуд"/>
    <n v="550"/>
    <m/>
  </r>
  <r>
    <n v="29"/>
    <x v="6"/>
    <x v="188"/>
    <x v="0"/>
    <s v="Такси"/>
    <n v="310"/>
    <m/>
  </r>
  <r>
    <n v="29"/>
    <x v="6"/>
    <x v="189"/>
    <x v="0"/>
    <s v="Автобус"/>
    <n v="64"/>
    <m/>
  </r>
  <r>
    <n v="29"/>
    <x v="6"/>
    <x v="189"/>
    <x v="3"/>
    <s v="Обед (работа)"/>
    <n v="184"/>
    <m/>
  </r>
  <r>
    <n v="29"/>
    <x v="6"/>
    <x v="189"/>
    <x v="4"/>
    <s v="еда"/>
    <n v="409"/>
    <m/>
  </r>
  <r>
    <n v="29"/>
    <x v="6"/>
    <x v="190"/>
    <x v="0"/>
    <s v="Автобус"/>
    <n v="64"/>
    <m/>
  </r>
  <r>
    <n v="29"/>
    <x v="6"/>
    <x v="190"/>
    <x v="3"/>
    <s v="Обед (работа)"/>
    <n v="94"/>
    <m/>
  </r>
  <r>
    <n v="29"/>
    <x v="6"/>
    <x v="191"/>
    <x v="0"/>
    <s v="Автобус"/>
    <n v="32"/>
    <m/>
  </r>
  <r>
    <n v="29"/>
    <x v="6"/>
    <x v="191"/>
    <x v="3"/>
    <s v="Обед (работа)"/>
    <n v="148"/>
    <m/>
  </r>
  <r>
    <n v="29"/>
    <x v="6"/>
    <x v="191"/>
    <x v="4"/>
    <s v="Еда"/>
    <n v="80"/>
    <m/>
  </r>
  <r>
    <n v="29"/>
    <x v="6"/>
    <x v="192"/>
    <x v="0"/>
    <s v="Автобус"/>
    <n v="32"/>
    <m/>
  </r>
  <r>
    <n v="29"/>
    <x v="6"/>
    <x v="192"/>
    <x v="3"/>
    <s v="Обед (работа)"/>
    <n v="48"/>
    <m/>
  </r>
  <r>
    <n v="29"/>
    <x v="6"/>
    <x v="192"/>
    <x v="3"/>
    <s v="Обед (работа)"/>
    <n v="140"/>
    <m/>
  </r>
  <r>
    <n v="29"/>
    <x v="6"/>
    <x v="192"/>
    <x v="4"/>
    <s v="Еда"/>
    <n v="205"/>
    <m/>
  </r>
  <r>
    <n v="29"/>
    <x v="6"/>
    <x v="193"/>
    <x v="0"/>
    <s v="Автобус"/>
    <n v="32"/>
    <m/>
  </r>
  <r>
    <n v="29"/>
    <x v="6"/>
    <x v="193"/>
    <x v="9"/>
    <s v="Работа"/>
    <n v="4394"/>
    <m/>
  </r>
  <r>
    <n v="29"/>
    <x v="6"/>
    <x v="193"/>
    <x v="2"/>
    <m/>
    <n v="1000"/>
    <m/>
  </r>
  <r>
    <n v="29"/>
    <x v="6"/>
    <x v="193"/>
    <x v="4"/>
    <s v="Еда"/>
    <n v="210"/>
    <m/>
  </r>
  <r>
    <n v="29"/>
    <x v="6"/>
    <x v="194"/>
    <x v="2"/>
    <s v="Кредитка"/>
    <n v="10000"/>
    <s v="Долг"/>
  </r>
  <r>
    <n v="29"/>
    <x v="6"/>
    <x v="194"/>
    <x v="4"/>
    <s v="Еда"/>
    <n v="802"/>
    <m/>
  </r>
  <r>
    <n v="29"/>
    <x v="6"/>
    <x v="194"/>
    <x v="3"/>
    <s v="Перекус"/>
    <n v="86"/>
    <m/>
  </r>
  <r>
    <n v="29"/>
    <x v="6"/>
    <x v="194"/>
    <x v="3"/>
    <s v="Кофейня"/>
    <n v="175"/>
    <m/>
  </r>
  <r>
    <n v="29"/>
    <x v="6"/>
    <x v="194"/>
    <x v="2"/>
    <s v="Финансовая  подушка"/>
    <n v="20000"/>
    <m/>
  </r>
  <r>
    <n v="29"/>
    <x v="6"/>
    <x v="194"/>
    <x v="2"/>
    <s v="Заначка"/>
    <n v="4320"/>
    <m/>
  </r>
  <r>
    <n v="29"/>
    <x v="6"/>
    <x v="194"/>
    <x v="10"/>
    <s v="Книги"/>
    <n v="500"/>
    <m/>
  </r>
  <r>
    <n v="29"/>
    <x v="6"/>
    <x v="194"/>
    <x v="2"/>
    <s v="Здоровье"/>
    <n v="600"/>
    <m/>
  </r>
  <r>
    <n v="29"/>
    <x v="6"/>
    <x v="194"/>
    <x v="2"/>
    <s v="Пополнение Инвест.Портфеля"/>
    <n v="2000"/>
    <m/>
  </r>
  <r>
    <n v="29"/>
    <x v="6"/>
    <x v="194"/>
    <x v="7"/>
    <s v="Уход за собой"/>
    <n v="1580"/>
    <m/>
  </r>
  <r>
    <n v="30"/>
    <x v="6"/>
    <x v="195"/>
    <x v="7"/>
    <s v="Уход за собой"/>
    <n v="400"/>
    <m/>
  </r>
  <r>
    <n v="30"/>
    <x v="6"/>
    <x v="195"/>
    <x v="0"/>
    <s v="Автобус"/>
    <n v="64"/>
    <m/>
  </r>
  <r>
    <n v="30"/>
    <x v="6"/>
    <x v="195"/>
    <x v="3"/>
    <s v="Сладости"/>
    <n v="160"/>
    <m/>
  </r>
  <r>
    <n v="30"/>
    <x v="6"/>
    <x v="195"/>
    <x v="5"/>
    <s v="Прочее"/>
    <n v="202"/>
    <s v="visa"/>
  </r>
  <r>
    <n v="30"/>
    <x v="6"/>
    <x v="195"/>
    <x v="4"/>
    <s v="Еда"/>
    <n v="85"/>
    <m/>
  </r>
  <r>
    <n v="30"/>
    <x v="6"/>
    <x v="196"/>
    <x v="0"/>
    <s v="Автобус"/>
    <n v="64"/>
    <m/>
  </r>
  <r>
    <n v="30"/>
    <x v="6"/>
    <x v="196"/>
    <x v="3"/>
    <s v="Перекус"/>
    <n v="120"/>
    <m/>
  </r>
  <r>
    <n v="30"/>
    <x v="6"/>
    <x v="196"/>
    <x v="4"/>
    <s v="Еда"/>
    <n v="155"/>
    <m/>
  </r>
  <r>
    <n v="30"/>
    <x v="6"/>
    <x v="197"/>
    <x v="0"/>
    <s v="Автобус"/>
    <n v="64"/>
    <m/>
  </r>
  <r>
    <n v="30"/>
    <x v="6"/>
    <x v="197"/>
    <x v="3"/>
    <s v="Обед (работа)"/>
    <n v="126"/>
    <m/>
  </r>
  <r>
    <n v="30"/>
    <x v="6"/>
    <x v="197"/>
    <x v="3"/>
    <s v="Шаверма"/>
    <n v="150"/>
    <m/>
  </r>
  <r>
    <n v="30"/>
    <x v="6"/>
    <x v="197"/>
    <x v="4"/>
    <s v="еда"/>
    <n v="134"/>
    <m/>
  </r>
  <r>
    <n v="30"/>
    <x v="6"/>
    <x v="198"/>
    <x v="0"/>
    <s v="Автобус"/>
    <n v="64"/>
    <m/>
  </r>
  <r>
    <n v="30"/>
    <x v="6"/>
    <x v="198"/>
    <x v="3"/>
    <s v="Обед (работа)"/>
    <n v="113"/>
    <m/>
  </r>
  <r>
    <n v="30"/>
    <x v="6"/>
    <x v="198"/>
    <x v="4"/>
    <s v="Еда"/>
    <n v="343"/>
    <m/>
  </r>
  <r>
    <n v="30"/>
    <x v="6"/>
    <x v="198"/>
    <x v="4"/>
    <s v="Еда"/>
    <n v="535"/>
    <m/>
  </r>
  <r>
    <n v="30"/>
    <x v="6"/>
    <x v="199"/>
    <x v="0"/>
    <s v="Автобус"/>
    <n v="64"/>
    <m/>
  </r>
  <r>
    <n v="30"/>
    <x v="6"/>
    <x v="199"/>
    <x v="3"/>
    <s v="Обед (работа)"/>
    <n v="113"/>
    <m/>
  </r>
  <r>
    <n v="30"/>
    <x v="6"/>
    <x v="199"/>
    <x v="4"/>
    <s v="Еда"/>
    <n v="265"/>
    <m/>
  </r>
  <r>
    <n v="30"/>
    <x v="6"/>
    <x v="200"/>
    <x v="0"/>
    <s v="Автобус"/>
    <n v="64"/>
    <m/>
  </r>
  <r>
    <n v="30"/>
    <x v="6"/>
    <x v="200"/>
    <x v="3"/>
    <s v="Обед (работа)"/>
    <n v="130"/>
    <m/>
  </r>
  <r>
    <n v="30"/>
    <x v="6"/>
    <x v="200"/>
    <x v="3"/>
    <s v="Кофейня"/>
    <n v="385"/>
    <m/>
  </r>
  <r>
    <n v="30"/>
    <x v="6"/>
    <x v="201"/>
    <x v="8"/>
    <s v="Мобил.инет"/>
    <n v="310"/>
    <s v="visa"/>
  </r>
  <r>
    <n v="30"/>
    <x v="6"/>
    <x v="201"/>
    <x v="10"/>
    <s v="Обучение"/>
    <n v="5000"/>
    <m/>
  </r>
  <r>
    <n v="30"/>
    <x v="6"/>
    <x v="201"/>
    <x v="3"/>
    <s v="Перекус"/>
    <n v="231"/>
    <m/>
  </r>
  <r>
    <n v="30"/>
    <x v="6"/>
    <x v="201"/>
    <x v="4"/>
    <s v="еда"/>
    <n v="182"/>
    <m/>
  </r>
  <r>
    <n v="31"/>
    <x v="6"/>
    <x v="202"/>
    <x v="0"/>
    <s v="Такси"/>
    <n v="213"/>
    <m/>
  </r>
  <r>
    <n v="31"/>
    <x v="6"/>
    <x v="202"/>
    <x v="4"/>
    <s v="Еда"/>
    <n v="91"/>
    <m/>
  </r>
  <r>
    <n v="31"/>
    <x v="6"/>
    <x v="202"/>
    <x v="3"/>
    <s v="Фаст-Фуд"/>
    <n v="860"/>
    <m/>
  </r>
  <r>
    <n v="31"/>
    <x v="6"/>
    <x v="202"/>
    <x v="3"/>
    <s v="Перекус"/>
    <n v="100"/>
    <m/>
  </r>
  <r>
    <n v="31"/>
    <x v="6"/>
    <x v="202"/>
    <x v="1"/>
    <s v="Активный"/>
    <n v="650"/>
    <m/>
  </r>
  <r>
    <n v="31"/>
    <x v="6"/>
    <x v="203"/>
    <x v="0"/>
    <s v="Автобус"/>
    <n v="64"/>
    <m/>
  </r>
  <r>
    <n v="31"/>
    <x v="6"/>
    <x v="203"/>
    <x v="3"/>
    <s v="Обед (работа)"/>
    <n v="196"/>
    <m/>
  </r>
  <r>
    <n v="31"/>
    <x v="6"/>
    <x v="203"/>
    <x v="7"/>
    <s v="Уход за собой"/>
    <n v="130"/>
    <m/>
  </r>
  <r>
    <n v="31"/>
    <x v="6"/>
    <x v="203"/>
    <x v="4"/>
    <s v="Еда"/>
    <n v="456"/>
    <m/>
  </r>
  <r>
    <n v="31"/>
    <x v="6"/>
    <x v="204"/>
    <x v="0"/>
    <s v="Автобус"/>
    <n v="64"/>
    <m/>
  </r>
  <r>
    <n v="31"/>
    <x v="6"/>
    <x v="204"/>
    <x v="3"/>
    <s v="Обед (работа)"/>
    <n v="231"/>
    <m/>
  </r>
  <r>
    <n v="31"/>
    <x v="6"/>
    <x v="204"/>
    <x v="4"/>
    <s v="Еда"/>
    <n v="210"/>
    <m/>
  </r>
  <r>
    <n v="31"/>
    <x v="6"/>
    <x v="205"/>
    <x v="0"/>
    <s v="Автобус"/>
    <n v="64"/>
    <m/>
  </r>
  <r>
    <n v="31"/>
    <x v="6"/>
    <x v="205"/>
    <x v="4"/>
    <s v="Еда"/>
    <n v="426"/>
    <m/>
  </r>
  <r>
    <n v="31"/>
    <x v="6"/>
    <x v="206"/>
    <x v="0"/>
    <s v="Автобус"/>
    <n v="64"/>
    <m/>
  </r>
  <r>
    <n v="31"/>
    <x v="6"/>
    <x v="206"/>
    <x v="3"/>
    <s v="Обед (работа)"/>
    <n v="274"/>
    <m/>
  </r>
  <r>
    <n v="31"/>
    <x v="6"/>
    <x v="206"/>
    <x v="3"/>
    <s v="Перекус"/>
    <n v="117"/>
    <m/>
  </r>
  <r>
    <n v="31"/>
    <x v="6"/>
    <x v="207"/>
    <x v="0"/>
    <s v="Автобус"/>
    <n v="64"/>
    <m/>
  </r>
  <r>
    <n v="31"/>
    <x v="6"/>
    <x v="207"/>
    <x v="3"/>
    <s v="Обед (работа)"/>
    <n v="228"/>
    <m/>
  </r>
  <r>
    <n v="31"/>
    <x v="6"/>
    <x v="207"/>
    <x v="3"/>
    <s v="Перекус"/>
    <n v="90"/>
    <m/>
  </r>
  <r>
    <n v="31"/>
    <x v="6"/>
    <x v="208"/>
    <x v="0"/>
    <s v="Автобус"/>
    <n v="64"/>
    <m/>
  </r>
  <r>
    <n v="31"/>
    <x v="6"/>
    <x v="208"/>
    <x v="3"/>
    <s v="Перекус"/>
    <n v="172"/>
    <m/>
  </r>
  <r>
    <n v="31"/>
    <x v="6"/>
    <x v="208"/>
    <x v="4"/>
    <s v="Еда"/>
    <n v="100"/>
    <m/>
  </r>
  <r>
    <n v="32"/>
    <x v="6"/>
    <x v="209"/>
    <x v="0"/>
    <s v="Автобус"/>
    <n v="64"/>
    <m/>
  </r>
  <r>
    <n v="32"/>
    <x v="6"/>
    <x v="209"/>
    <x v="9"/>
    <s v="Друзья"/>
    <n v="1355"/>
    <m/>
  </r>
  <r>
    <n v="32"/>
    <x v="6"/>
    <x v="209"/>
    <x v="0"/>
    <s v="Такси"/>
    <n v="233"/>
    <m/>
  </r>
  <r>
    <n v="32"/>
    <x v="6"/>
    <x v="209"/>
    <x v="10"/>
    <m/>
    <n v="2500"/>
    <m/>
  </r>
  <r>
    <n v="32"/>
    <x v="6"/>
    <x v="209"/>
    <x v="4"/>
    <s v="еда"/>
    <n v="229"/>
    <m/>
  </r>
  <r>
    <n v="32"/>
    <x v="7"/>
    <x v="210"/>
    <x v="0"/>
    <s v="Автобус"/>
    <n v="64"/>
    <m/>
  </r>
  <r>
    <n v="32"/>
    <x v="7"/>
    <x v="210"/>
    <x v="3"/>
    <s v="Обед (работа)"/>
    <n v="93"/>
    <m/>
  </r>
  <r>
    <n v="32"/>
    <x v="7"/>
    <x v="210"/>
    <x v="4"/>
    <s v="Еда"/>
    <n v="32"/>
    <m/>
  </r>
  <r>
    <n v="32"/>
    <x v="7"/>
    <x v="210"/>
    <x v="9"/>
    <s v="Друзья"/>
    <n v="240"/>
    <m/>
  </r>
  <r>
    <n v="32"/>
    <x v="7"/>
    <x v="211"/>
    <x v="0"/>
    <s v="Метро"/>
    <n v="32"/>
    <m/>
  </r>
  <r>
    <n v="32"/>
    <x v="7"/>
    <x v="211"/>
    <x v="0"/>
    <s v="Межгород"/>
    <n v="260"/>
    <m/>
  </r>
  <r>
    <n v="32"/>
    <x v="7"/>
    <x v="211"/>
    <x v="0"/>
    <s v="Такси"/>
    <n v="123"/>
    <m/>
  </r>
  <r>
    <n v="32"/>
    <x v="7"/>
    <x v="211"/>
    <x v="1"/>
    <s v="Кальянная"/>
    <n v="340"/>
    <m/>
  </r>
  <r>
    <n v="32"/>
    <x v="7"/>
    <x v="211"/>
    <x v="0"/>
    <s v="Межгород"/>
    <n v="264"/>
    <m/>
  </r>
  <r>
    <n v="32"/>
    <x v="7"/>
    <x v="211"/>
    <x v="5"/>
    <s v="Прочее"/>
    <n v="119"/>
    <m/>
  </r>
  <r>
    <n v="32"/>
    <x v="7"/>
    <x v="211"/>
    <x v="3"/>
    <s v="Перекус"/>
    <n v="80"/>
    <m/>
  </r>
  <r>
    <n v="32"/>
    <x v="7"/>
    <x v="212"/>
    <x v="0"/>
    <s v="Автобус"/>
    <n v="128"/>
    <m/>
  </r>
  <r>
    <n v="32"/>
    <x v="7"/>
    <x v="212"/>
    <x v="3"/>
    <s v="Перекус"/>
    <n v="140"/>
    <m/>
  </r>
  <r>
    <n v="32"/>
    <x v="7"/>
    <x v="212"/>
    <x v="3"/>
    <s v="Фаст-Фуд"/>
    <n v="190"/>
    <m/>
  </r>
  <r>
    <n v="32"/>
    <x v="7"/>
    <x v="212"/>
    <x v="1"/>
    <s v="Кальянная"/>
    <n v="500"/>
    <m/>
  </r>
  <r>
    <n v="32"/>
    <x v="7"/>
    <x v="212"/>
    <x v="4"/>
    <s v="еда"/>
    <n v="238"/>
    <m/>
  </r>
  <r>
    <n v="32"/>
    <x v="7"/>
    <x v="213"/>
    <x v="4"/>
    <s v="Еда"/>
    <n v="433"/>
    <m/>
  </r>
  <r>
    <n v="32"/>
    <x v="7"/>
    <x v="213"/>
    <x v="0"/>
    <s v="Автобус"/>
    <n v="32"/>
    <m/>
  </r>
  <r>
    <n v="32"/>
    <x v="7"/>
    <x v="213"/>
    <x v="3"/>
    <s v="Перекус"/>
    <n v="328"/>
    <m/>
  </r>
  <r>
    <n v="32"/>
    <x v="7"/>
    <x v="213"/>
    <x v="3"/>
    <s v="Перекус"/>
    <n v="85"/>
    <m/>
  </r>
  <r>
    <n v="32"/>
    <x v="7"/>
    <x v="214"/>
    <x v="0"/>
    <s v="Автобус"/>
    <n v="64"/>
    <m/>
  </r>
  <r>
    <n v="32"/>
    <x v="7"/>
    <x v="214"/>
    <x v="7"/>
    <s v="Аптека"/>
    <n v="307"/>
    <m/>
  </r>
  <r>
    <n v="32"/>
    <x v="7"/>
    <x v="214"/>
    <x v="3"/>
    <s v="Обед (работа)"/>
    <n v="158"/>
    <m/>
  </r>
  <r>
    <n v="32"/>
    <x v="7"/>
    <x v="214"/>
    <x v="8"/>
    <s v="Интернет"/>
    <n v="240"/>
    <m/>
  </r>
  <r>
    <n v="32"/>
    <x v="7"/>
    <x v="215"/>
    <x v="0"/>
    <s v="Автобус"/>
    <n v="64"/>
    <m/>
  </r>
  <r>
    <n v="32"/>
    <x v="7"/>
    <x v="215"/>
    <x v="3"/>
    <s v="Обед (работа)"/>
    <n v="90"/>
    <m/>
  </r>
  <r>
    <n v="32"/>
    <x v="7"/>
    <x v="215"/>
    <x v="4"/>
    <s v="еда"/>
    <n v="136"/>
    <m/>
  </r>
  <r>
    <n v="33"/>
    <x v="7"/>
    <x v="216"/>
    <x v="0"/>
    <s v="Автобус"/>
    <n v="32"/>
    <m/>
  </r>
  <r>
    <n v="33"/>
    <x v="7"/>
    <x v="216"/>
    <x v="3"/>
    <s v="Обед (работа)"/>
    <n v="267"/>
    <m/>
  </r>
  <r>
    <n v="33"/>
    <x v="7"/>
    <x v="216"/>
    <x v="3"/>
    <s v="Перекус"/>
    <n v="340"/>
    <m/>
  </r>
  <r>
    <n v="33"/>
    <x v="7"/>
    <x v="217"/>
    <x v="0"/>
    <s v="Автобус"/>
    <n v="96"/>
    <m/>
  </r>
  <r>
    <n v="33"/>
    <x v="7"/>
    <x v="217"/>
    <x v="3"/>
    <s v="Обед (работа)"/>
    <n v="232"/>
    <m/>
  </r>
  <r>
    <n v="33"/>
    <x v="7"/>
    <x v="217"/>
    <x v="3"/>
    <s v="Перекус"/>
    <n v="110"/>
    <m/>
  </r>
  <r>
    <n v="33"/>
    <x v="7"/>
    <x v="218"/>
    <x v="4"/>
    <s v="Еда"/>
    <n v="587"/>
    <m/>
  </r>
  <r>
    <n v="33"/>
    <x v="7"/>
    <x v="218"/>
    <x v="3"/>
    <s v="Перекус"/>
    <n v="318"/>
    <m/>
  </r>
  <r>
    <n v="33"/>
    <x v="7"/>
    <x v="218"/>
    <x v="7"/>
    <s v="Уход за собой"/>
    <n v="126"/>
    <m/>
  </r>
  <r>
    <n v="33"/>
    <x v="7"/>
    <x v="219"/>
    <x v="3"/>
    <s v="Перекус"/>
    <n v="73"/>
    <m/>
  </r>
  <r>
    <n v="33"/>
    <x v="7"/>
    <x v="219"/>
    <x v="4"/>
    <s v="еда"/>
    <n v="509"/>
    <m/>
  </r>
  <r>
    <n v="33"/>
    <x v="7"/>
    <x v="219"/>
    <x v="7"/>
    <s v="Аптека"/>
    <n v="300"/>
    <s v="visa"/>
  </r>
  <r>
    <n v="33"/>
    <x v="7"/>
    <x v="220"/>
    <x v="0"/>
    <s v="Автобус"/>
    <n v="64"/>
    <m/>
  </r>
  <r>
    <n v="33"/>
    <x v="7"/>
    <x v="220"/>
    <x v="3"/>
    <s v="Обед (работа)"/>
    <n v="295"/>
    <m/>
  </r>
  <r>
    <n v="33"/>
    <x v="7"/>
    <x v="220"/>
    <x v="4"/>
    <s v="еда"/>
    <n v="140"/>
    <m/>
  </r>
  <r>
    <n v="33"/>
    <x v="7"/>
    <x v="221"/>
    <x v="0"/>
    <s v="Автобус"/>
    <n v="64"/>
    <m/>
  </r>
  <r>
    <n v="33"/>
    <x v="7"/>
    <x v="221"/>
    <x v="4"/>
    <s v="еда"/>
    <n v="504"/>
    <m/>
  </r>
  <r>
    <n v="33"/>
    <x v="7"/>
    <x v="222"/>
    <x v="0"/>
    <s v="Автобус"/>
    <n v="64"/>
    <m/>
  </r>
  <r>
    <n v="33"/>
    <x v="7"/>
    <x v="222"/>
    <x v="4"/>
    <s v="еда"/>
    <n v="342"/>
    <m/>
  </r>
  <r>
    <n v="34"/>
    <x v="7"/>
    <x v="223"/>
    <x v="4"/>
    <s v="Еда"/>
    <n v="219"/>
    <m/>
  </r>
  <r>
    <n v="34"/>
    <x v="7"/>
    <x v="223"/>
    <x v="1"/>
    <s v="Алкоголь"/>
    <n v="184"/>
    <m/>
  </r>
  <r>
    <n v="34"/>
    <x v="7"/>
    <x v="224"/>
    <x v="0"/>
    <s v="Автобус"/>
    <n v="32"/>
    <m/>
  </r>
  <r>
    <n v="34"/>
    <x v="7"/>
    <x v="224"/>
    <x v="4"/>
    <s v="ЕДа"/>
    <n v="973"/>
    <m/>
  </r>
  <r>
    <n v="34"/>
    <x v="7"/>
    <x v="224"/>
    <x v="5"/>
    <s v="Прочее"/>
    <n v="260"/>
    <m/>
  </r>
  <r>
    <n v="34"/>
    <x v="7"/>
    <x v="225"/>
    <x v="0"/>
    <s v="Автобус"/>
    <n v="64"/>
    <m/>
  </r>
  <r>
    <n v="34"/>
    <x v="7"/>
    <x v="225"/>
    <x v="3"/>
    <s v="Кофейня"/>
    <n v="130"/>
    <m/>
  </r>
  <r>
    <n v="34"/>
    <x v="7"/>
    <x v="225"/>
    <x v="3"/>
    <s v="Сладости"/>
    <n v="310"/>
    <m/>
  </r>
  <r>
    <n v="34"/>
    <x v="7"/>
    <x v="226"/>
    <x v="0"/>
    <s v="Автобус"/>
    <n v="64"/>
    <m/>
  </r>
  <r>
    <n v="34"/>
    <x v="7"/>
    <x v="226"/>
    <x v="3"/>
    <s v="Обед (работа)"/>
    <n v="110"/>
    <m/>
  </r>
  <r>
    <n v="34"/>
    <x v="7"/>
    <x v="226"/>
    <x v="4"/>
    <s v="Еда"/>
    <n v="201"/>
    <m/>
  </r>
  <r>
    <n v="34"/>
    <x v="7"/>
    <x v="227"/>
    <x v="0"/>
    <s v="Автобус"/>
    <n v="32"/>
    <m/>
  </r>
  <r>
    <n v="34"/>
    <x v="7"/>
    <x v="227"/>
    <x v="3"/>
    <s v="Обед (работа)"/>
    <n v="167"/>
    <m/>
  </r>
  <r>
    <n v="34"/>
    <x v="7"/>
    <x v="227"/>
    <x v="4"/>
    <s v="Еда"/>
    <n v="35"/>
    <m/>
  </r>
  <r>
    <n v="34"/>
    <x v="7"/>
    <x v="228"/>
    <x v="0"/>
    <s v="Автобус"/>
    <n v="64"/>
    <m/>
  </r>
  <r>
    <n v="34"/>
    <x v="7"/>
    <x v="228"/>
    <x v="3"/>
    <s v="Обед (работа)"/>
    <n v="170"/>
    <m/>
  </r>
  <r>
    <n v="34"/>
    <x v="7"/>
    <x v="228"/>
    <x v="4"/>
    <s v="Еда"/>
    <n v="136"/>
    <m/>
  </r>
  <r>
    <n v="34"/>
    <x v="7"/>
    <x v="229"/>
    <x v="7"/>
    <s v="Уход за собой"/>
    <n v="700"/>
    <s v="visa"/>
  </r>
  <r>
    <n v="34"/>
    <x v="7"/>
    <x v="229"/>
    <x v="4"/>
    <s v="Еда"/>
    <n v="107"/>
    <m/>
  </r>
  <r>
    <n v="34"/>
    <x v="7"/>
    <x v="229"/>
    <x v="3"/>
    <s v="Кофейня"/>
    <n v="47"/>
    <m/>
  </r>
  <r>
    <n v="34"/>
    <x v="7"/>
    <x v="229"/>
    <x v="0"/>
    <s v="Автобус"/>
    <n v="32"/>
    <m/>
  </r>
  <r>
    <n v="34"/>
    <x v="7"/>
    <x v="229"/>
    <x v="7"/>
    <s v="Аптека"/>
    <n v="72"/>
    <m/>
  </r>
  <r>
    <n v="35"/>
    <x v="7"/>
    <x v="230"/>
    <x v="3"/>
    <s v="Шаверма"/>
    <n v="268"/>
    <m/>
  </r>
  <r>
    <n v="35"/>
    <x v="7"/>
    <x v="230"/>
    <x v="4"/>
    <s v="Еда"/>
    <n v="483"/>
    <m/>
  </r>
  <r>
    <n v="35"/>
    <x v="7"/>
    <x v="231"/>
    <x v="3"/>
    <s v="Фаст-Фуд"/>
    <n v="493"/>
    <m/>
  </r>
  <r>
    <n v="35"/>
    <x v="7"/>
    <x v="231"/>
    <x v="4"/>
    <s v="Еда"/>
    <n v="244"/>
    <m/>
  </r>
  <r>
    <n v="35"/>
    <x v="7"/>
    <x v="231"/>
    <x v="3"/>
    <s v="Перекус"/>
    <n v="45"/>
    <m/>
  </r>
  <r>
    <n v="35"/>
    <x v="7"/>
    <x v="232"/>
    <x v="0"/>
    <s v="Автобус"/>
    <n v="64"/>
    <m/>
  </r>
  <r>
    <n v="35"/>
    <x v="7"/>
    <x v="232"/>
    <x v="3"/>
    <s v="Обед (работа)"/>
    <n v="119"/>
    <m/>
  </r>
  <r>
    <n v="35"/>
    <x v="7"/>
    <x v="232"/>
    <x v="8"/>
    <s v="Мобил.инет"/>
    <n v="310"/>
    <s v="visa"/>
  </r>
  <r>
    <n v="35"/>
    <x v="7"/>
    <x v="233"/>
    <x v="0"/>
    <s v="Автобус"/>
    <n v="64"/>
    <m/>
  </r>
  <r>
    <n v="35"/>
    <x v="7"/>
    <x v="233"/>
    <x v="3"/>
    <s v="Обед (работа)"/>
    <n v="171"/>
    <m/>
  </r>
  <r>
    <n v="35"/>
    <x v="7"/>
    <x v="233"/>
    <x v="4"/>
    <s v="Еда"/>
    <n v="198"/>
    <m/>
  </r>
  <r>
    <n v="35"/>
    <x v="7"/>
    <x v="234"/>
    <x v="0"/>
    <s v="Автобус"/>
    <n v="64"/>
    <m/>
  </r>
  <r>
    <n v="35"/>
    <x v="7"/>
    <x v="234"/>
    <x v="3"/>
    <s v="Обед (работа)"/>
    <n v="158"/>
    <m/>
  </r>
  <r>
    <n v="35"/>
    <x v="7"/>
    <x v="234"/>
    <x v="4"/>
    <s v="Еда"/>
    <n v="155"/>
    <m/>
  </r>
  <r>
    <n v="35"/>
    <x v="7"/>
    <x v="235"/>
    <x v="2"/>
    <s v="Обучение"/>
    <n v="330"/>
    <m/>
  </r>
  <r>
    <n v="35"/>
    <x v="7"/>
    <x v="235"/>
    <x v="2"/>
    <s v="Здоровье"/>
    <n v="330"/>
    <m/>
  </r>
  <r>
    <n v="35"/>
    <x v="7"/>
    <x v="235"/>
    <x v="2"/>
    <s v="Пополнение Инвест.Портфеля"/>
    <n v="580"/>
    <m/>
  </r>
  <r>
    <n v="35"/>
    <x v="7"/>
    <x v="235"/>
    <x v="5"/>
    <s v="Прочее"/>
    <n v="786"/>
    <m/>
  </r>
  <r>
    <n v="35"/>
    <x v="7"/>
    <x v="235"/>
    <x v="4"/>
    <s v="Еда"/>
    <n v="725"/>
    <m/>
  </r>
  <r>
    <n v="35"/>
    <x v="7"/>
    <x v="235"/>
    <x v="0"/>
    <s v="Межгород"/>
    <n v="314"/>
    <m/>
  </r>
  <r>
    <n v="35"/>
    <x v="7"/>
    <x v="235"/>
    <x v="1"/>
    <s v="Алкоголь"/>
    <n v="96"/>
    <m/>
  </r>
  <r>
    <n v="35"/>
    <x v="7"/>
    <x v="235"/>
    <x v="0"/>
    <s v="Межгород"/>
    <n v="314"/>
    <m/>
  </r>
  <r>
    <n v="35"/>
    <x v="7"/>
    <x v="236"/>
    <x v="0"/>
    <s v="Автобус"/>
    <n v="32"/>
    <s v="+"/>
  </r>
  <r>
    <n v="35"/>
    <x v="7"/>
    <x v="236"/>
    <x v="0"/>
    <s v="Такси"/>
    <n v="150"/>
    <s v="+"/>
  </r>
  <r>
    <n v="35"/>
    <x v="7"/>
    <x v="236"/>
    <x v="3"/>
    <s v="Шаверма"/>
    <n v="150"/>
    <s v="+"/>
  </r>
  <r>
    <n v="35"/>
    <x v="7"/>
    <x v="236"/>
    <x v="3"/>
    <s v="Перекус"/>
    <n v="65"/>
    <s v="+"/>
  </r>
  <r>
    <n v="35"/>
    <x v="7"/>
    <x v="236"/>
    <x v="1"/>
    <s v="Алкоголь"/>
    <n v="241"/>
    <s v="+"/>
  </r>
  <r>
    <n v="35"/>
    <x v="7"/>
    <x v="236"/>
    <x v="3"/>
    <s v="Перекус"/>
    <n v="25"/>
    <s v="+"/>
  </r>
  <r>
    <n v="35"/>
    <x v="7"/>
    <x v="236"/>
    <x v="1"/>
    <s v="Музеи"/>
    <n v="300"/>
    <s v="+"/>
  </r>
  <r>
    <n v="36"/>
    <x v="7"/>
    <x v="237"/>
    <x v="4"/>
    <s v="Еда"/>
    <n v="246"/>
    <m/>
  </r>
  <r>
    <n v="36"/>
    <x v="7"/>
    <x v="238"/>
    <x v="0"/>
    <s v="Автобус"/>
    <n v="64"/>
    <m/>
  </r>
  <r>
    <n v="36"/>
    <x v="7"/>
    <x v="238"/>
    <x v="3"/>
    <s v="Обед (работа)"/>
    <n v="316"/>
    <m/>
  </r>
  <r>
    <n v="36"/>
    <x v="7"/>
    <x v="238"/>
    <x v="4"/>
    <s v="Еда"/>
    <n v="114"/>
    <m/>
  </r>
  <r>
    <n v="36"/>
    <x v="7"/>
    <x v="239"/>
    <x v="4"/>
    <s v="Еда"/>
    <n v="116"/>
    <m/>
  </r>
  <r>
    <n v="36"/>
    <x v="7"/>
    <x v="239"/>
    <x v="0"/>
    <s v="Автобус"/>
    <n v="64"/>
    <m/>
  </r>
  <r>
    <n v="36"/>
    <x v="7"/>
    <x v="239"/>
    <x v="2"/>
    <m/>
    <n v="5500"/>
    <m/>
  </r>
  <r>
    <n v="36"/>
    <x v="7"/>
    <x v="239"/>
    <x v="8"/>
    <s v="Интернет"/>
    <n v="240"/>
    <m/>
  </r>
  <r>
    <n v="36"/>
    <x v="7"/>
    <x v="239"/>
    <x v="3"/>
    <s v="Обед (работа)"/>
    <n v="131"/>
    <m/>
  </r>
  <r>
    <n v="36"/>
    <x v="7"/>
    <x v="239"/>
    <x v="2"/>
    <s v="Здоровье"/>
    <n v="300"/>
    <m/>
  </r>
  <r>
    <n v="36"/>
    <x v="7"/>
    <x v="239"/>
    <x v="2"/>
    <s v="Кредитка"/>
    <n v="200"/>
    <m/>
  </r>
  <r>
    <n v="36"/>
    <x v="7"/>
    <x v="239"/>
    <x v="2"/>
    <s v="Заначка"/>
    <n v="4300"/>
    <m/>
  </r>
  <r>
    <n v="36"/>
    <x v="7"/>
    <x v="239"/>
    <x v="2"/>
    <s v="Обучение"/>
    <n v="280"/>
    <m/>
  </r>
  <r>
    <n v="36"/>
    <x v="7"/>
    <x v="240"/>
    <x v="0"/>
    <s v="Автобус"/>
    <n v="64"/>
    <m/>
  </r>
  <r>
    <n v="36"/>
    <x v="7"/>
    <x v="240"/>
    <x v="2"/>
    <s v="Кредитка"/>
    <n v="2200"/>
    <m/>
  </r>
  <r>
    <n v="36"/>
    <x v="7"/>
    <x v="240"/>
    <x v="3"/>
    <s v="Обед (работа)"/>
    <n v="235"/>
    <m/>
  </r>
  <r>
    <n v="36"/>
    <x v="7"/>
    <x v="240"/>
    <x v="4"/>
    <s v="еда"/>
    <n v="162"/>
    <m/>
  </r>
  <r>
    <n v="36"/>
    <x v="7"/>
    <x v="240"/>
    <x v="5"/>
    <s v="Прочее"/>
    <n v="1375"/>
    <m/>
  </r>
  <r>
    <n v="36"/>
    <x v="8"/>
    <x v="241"/>
    <x v="0"/>
    <s v="Автобус"/>
    <n v="64"/>
    <m/>
  </r>
  <r>
    <n v="36"/>
    <x v="8"/>
    <x v="241"/>
    <x v="2"/>
    <s v="Кредитка"/>
    <n v="100"/>
    <m/>
  </r>
  <r>
    <n v="36"/>
    <x v="8"/>
    <x v="241"/>
    <x v="3"/>
    <s v="Обед (работа)"/>
    <n v="278"/>
    <m/>
  </r>
  <r>
    <n v="36"/>
    <x v="8"/>
    <x v="241"/>
    <x v="1"/>
    <s v="Алкоголь"/>
    <n v="210"/>
    <m/>
  </r>
  <r>
    <n v="36"/>
    <x v="8"/>
    <x v="242"/>
    <x v="0"/>
    <s v="Автобус"/>
    <n v="64"/>
    <m/>
  </r>
  <r>
    <n v="36"/>
    <x v="8"/>
    <x v="242"/>
    <x v="3"/>
    <s v="Перекус"/>
    <n v="36"/>
    <m/>
  </r>
  <r>
    <n v="36"/>
    <x v="8"/>
    <x v="242"/>
    <x v="3"/>
    <s v="Кофейня"/>
    <n v="300"/>
    <m/>
  </r>
  <r>
    <n v="36"/>
    <x v="8"/>
    <x v="242"/>
    <x v="3"/>
    <s v="Шаверма"/>
    <n v="250"/>
    <m/>
  </r>
  <r>
    <n v="36"/>
    <x v="8"/>
    <x v="243"/>
    <x v="4"/>
    <s v="Еда"/>
    <n v="249"/>
    <m/>
  </r>
  <r>
    <n v="36"/>
    <x v="8"/>
    <x v="243"/>
    <x v="3"/>
    <s v="Фаст-Фуд"/>
    <n v="418"/>
    <m/>
  </r>
  <r>
    <n v="37"/>
    <x v="8"/>
    <x v="244"/>
    <x v="0"/>
    <s v="Автобус"/>
    <n v="64"/>
    <m/>
  </r>
  <r>
    <n v="37"/>
    <x v="8"/>
    <x v="244"/>
    <x v="3"/>
    <s v="Обед (работа)"/>
    <n v="139"/>
    <m/>
  </r>
  <r>
    <n v="37"/>
    <x v="8"/>
    <x v="244"/>
    <x v="7"/>
    <s v="Аптека"/>
    <n v="221"/>
    <m/>
  </r>
  <r>
    <n v="37"/>
    <x v="8"/>
    <x v="244"/>
    <x v="4"/>
    <s v="еда"/>
    <n v="120"/>
    <m/>
  </r>
  <r>
    <n v="37"/>
    <x v="8"/>
    <x v="245"/>
    <x v="0"/>
    <s v="Автобус"/>
    <n v="64"/>
    <m/>
  </r>
  <r>
    <n v="37"/>
    <x v="8"/>
    <x v="245"/>
    <x v="3"/>
    <s v="Обед (работа)"/>
    <n v="302"/>
    <m/>
  </r>
  <r>
    <n v="37"/>
    <x v="8"/>
    <x v="245"/>
    <x v="4"/>
    <s v="Еда"/>
    <n v="589"/>
    <m/>
  </r>
  <r>
    <n v="37"/>
    <x v="8"/>
    <x v="246"/>
    <x v="0"/>
    <s v="Автобус"/>
    <n v="32"/>
    <m/>
  </r>
  <r>
    <n v="37"/>
    <x v="8"/>
    <x v="246"/>
    <x v="3"/>
    <s v="Обед (работа)"/>
    <n v="270"/>
    <m/>
  </r>
  <r>
    <n v="37"/>
    <x v="8"/>
    <x v="246"/>
    <x v="4"/>
    <s v="Еда"/>
    <n v="137"/>
    <m/>
  </r>
  <r>
    <n v="37"/>
    <x v="8"/>
    <x v="247"/>
    <x v="0"/>
    <s v="Межгород"/>
    <n v="73"/>
    <m/>
  </r>
  <r>
    <n v="37"/>
    <x v="8"/>
    <x v="247"/>
    <x v="7"/>
    <s v="Аптека"/>
    <n v="199"/>
    <m/>
  </r>
  <r>
    <n v="37"/>
    <x v="8"/>
    <x v="248"/>
    <x v="4"/>
    <s v="Еда"/>
    <n v="311"/>
    <m/>
  </r>
  <r>
    <n v="37"/>
    <x v="8"/>
    <x v="248"/>
    <x v="7"/>
    <s v="Уход за собой"/>
    <n v="320"/>
    <m/>
  </r>
  <r>
    <n v="37"/>
    <x v="8"/>
    <x v="249"/>
    <x v="4"/>
    <s v="Еда"/>
    <n v="70"/>
    <m/>
  </r>
  <r>
    <n v="37"/>
    <x v="8"/>
    <x v="250"/>
    <x v="0"/>
    <s v="Автобус"/>
    <n v="64"/>
    <m/>
  </r>
  <r>
    <n v="37"/>
    <x v="8"/>
    <x v="250"/>
    <x v="3"/>
    <s v="Обед (работа)"/>
    <n v="242"/>
    <m/>
  </r>
  <r>
    <n v="38"/>
    <x v="8"/>
    <x v="251"/>
    <x v="0"/>
    <s v="Автобус"/>
    <n v="64"/>
    <m/>
  </r>
  <r>
    <n v="38"/>
    <x v="8"/>
    <x v="251"/>
    <x v="3"/>
    <s v="Обед (работа)"/>
    <n v="281"/>
    <m/>
  </r>
  <r>
    <n v="38"/>
    <x v="8"/>
    <x v="251"/>
    <x v="3"/>
    <s v="Перекус"/>
    <n v="60"/>
    <m/>
  </r>
  <r>
    <n v="38"/>
    <x v="8"/>
    <x v="251"/>
    <x v="4"/>
    <s v="Еда"/>
    <n v="180"/>
    <m/>
  </r>
  <r>
    <n v="38"/>
    <x v="8"/>
    <x v="252"/>
    <x v="0"/>
    <s v="Автобус"/>
    <n v="64"/>
    <m/>
  </r>
  <r>
    <n v="38"/>
    <x v="8"/>
    <x v="252"/>
    <x v="3"/>
    <s v="Обед (работа)"/>
    <n v="318"/>
    <m/>
  </r>
  <r>
    <n v="38"/>
    <x v="8"/>
    <x v="252"/>
    <x v="4"/>
    <s v="Еда"/>
    <n v="396"/>
    <m/>
  </r>
  <r>
    <n v="38"/>
    <x v="8"/>
    <x v="252"/>
    <x v="2"/>
    <s v="Кредитка"/>
    <n v="100"/>
    <m/>
  </r>
  <r>
    <n v="38"/>
    <x v="8"/>
    <x v="252"/>
    <x v="0"/>
    <s v="Такси"/>
    <n v="100"/>
    <m/>
  </r>
  <r>
    <n v="38"/>
    <x v="8"/>
    <x v="253"/>
    <x v="0"/>
    <s v="Автобус"/>
    <n v="96"/>
    <m/>
  </r>
  <r>
    <n v="38"/>
    <x v="8"/>
    <x v="253"/>
    <x v="3"/>
    <s v="Перекус"/>
    <n v="166"/>
    <m/>
  </r>
  <r>
    <n v="38"/>
    <x v="8"/>
    <x v="253"/>
    <x v="0"/>
    <s v="Межгород"/>
    <n v="264"/>
    <m/>
  </r>
  <r>
    <n v="38"/>
    <x v="8"/>
    <x v="253"/>
    <x v="2"/>
    <s v="Кредитка"/>
    <n v="100"/>
    <m/>
  </r>
  <r>
    <n v="38"/>
    <x v="8"/>
    <x v="254"/>
    <x v="0"/>
    <s v="Межгород"/>
    <n v="264"/>
    <m/>
  </r>
  <r>
    <n v="38"/>
    <x v="8"/>
    <x v="254"/>
    <x v="0"/>
    <s v="Автобус"/>
    <n v="32"/>
    <m/>
  </r>
  <r>
    <n v="38"/>
    <x v="8"/>
    <x v="254"/>
    <x v="3"/>
    <s v="Сладости"/>
    <n v="174"/>
    <m/>
  </r>
  <r>
    <n v="38"/>
    <x v="8"/>
    <x v="254"/>
    <x v="4"/>
    <s v="Еда"/>
    <n v="330"/>
    <m/>
  </r>
  <r>
    <n v="38"/>
    <x v="8"/>
    <x v="255"/>
    <x v="2"/>
    <s v="Кредитка"/>
    <n v="300"/>
    <m/>
  </r>
  <r>
    <n v="38"/>
    <x v="8"/>
    <x v="255"/>
    <x v="2"/>
    <s v="Здоровье"/>
    <n v="130"/>
    <m/>
  </r>
  <r>
    <n v="38"/>
    <x v="8"/>
    <x v="255"/>
    <x v="2"/>
    <s v="Обучение"/>
    <n v="130"/>
    <m/>
  </r>
  <r>
    <n v="38"/>
    <x v="8"/>
    <x v="255"/>
    <x v="2"/>
    <s v="Пополнение Инвест.Портфеля"/>
    <n v="130"/>
    <m/>
  </r>
  <r>
    <n v="38"/>
    <x v="8"/>
    <x v="255"/>
    <x v="2"/>
    <s v="365 дней (цель)"/>
    <n v="130"/>
    <m/>
  </r>
  <r>
    <n v="38"/>
    <x v="8"/>
    <x v="255"/>
    <x v="4"/>
    <s v="Еда"/>
    <n v="314"/>
    <m/>
  </r>
  <r>
    <n v="38"/>
    <x v="8"/>
    <x v="256"/>
    <x v="0"/>
    <s v="Автобус"/>
    <n v="64"/>
    <m/>
  </r>
  <r>
    <n v="38"/>
    <x v="8"/>
    <x v="256"/>
    <x v="3"/>
    <s v="Обед (работа)"/>
    <n v="278"/>
    <m/>
  </r>
  <r>
    <n v="38"/>
    <x v="8"/>
    <x v="256"/>
    <x v="4"/>
    <s v="Еда"/>
    <n v="156"/>
    <m/>
  </r>
  <r>
    <n v="38"/>
    <x v="8"/>
    <x v="257"/>
    <x v="0"/>
    <s v="Автобус"/>
    <n v="64"/>
    <m/>
  </r>
  <r>
    <n v="38"/>
    <x v="8"/>
    <x v="257"/>
    <x v="3"/>
    <s v="Обед (работа)"/>
    <n v="388"/>
    <m/>
  </r>
  <r>
    <n v="38"/>
    <x v="8"/>
    <x v="257"/>
    <x v="4"/>
    <s v="Еда"/>
    <n v="409"/>
    <m/>
  </r>
  <r>
    <n v="39"/>
    <x v="8"/>
    <x v="258"/>
    <x v="0"/>
    <s v="Автобус"/>
    <n v="64"/>
    <m/>
  </r>
  <r>
    <n v="39"/>
    <x v="8"/>
    <x v="258"/>
    <x v="3"/>
    <s v="Обед (работа)"/>
    <n v="283"/>
    <m/>
  </r>
  <r>
    <n v="39"/>
    <x v="8"/>
    <x v="258"/>
    <x v="4"/>
    <s v="Еда"/>
    <n v="107"/>
    <m/>
  </r>
  <r>
    <n v="39"/>
    <x v="8"/>
    <x v="259"/>
    <x v="4"/>
    <s v="еда"/>
    <n v="364"/>
    <m/>
  </r>
  <r>
    <n v="39"/>
    <x v="8"/>
    <x v="259"/>
    <x v="7"/>
    <s v="Уход за собой"/>
    <n v="700"/>
    <m/>
  </r>
  <r>
    <n v="39"/>
    <x v="8"/>
    <x v="260"/>
    <x v="0"/>
    <s v="Такси"/>
    <n v="539"/>
    <m/>
  </r>
  <r>
    <n v="39"/>
    <x v="8"/>
    <x v="260"/>
    <x v="0"/>
    <s v="Метро"/>
    <n v="309"/>
    <m/>
  </r>
  <r>
    <n v="39"/>
    <x v="8"/>
    <x v="260"/>
    <x v="3"/>
    <s v="Перекус"/>
    <n v="219"/>
    <m/>
  </r>
  <r>
    <n v="39"/>
    <x v="8"/>
    <x v="260"/>
    <x v="1"/>
    <s v="Отпуск"/>
    <n v="2550"/>
    <m/>
  </r>
  <r>
    <n v="39"/>
    <x v="8"/>
    <x v="261"/>
    <x v="1"/>
    <s v="Отпуск"/>
    <n v="780"/>
    <m/>
  </r>
  <r>
    <n v="39"/>
    <x v="8"/>
    <x v="261"/>
    <x v="3"/>
    <s v="Перекус"/>
    <n v="449"/>
    <m/>
  </r>
  <r>
    <n v="39"/>
    <x v="8"/>
    <x v="261"/>
    <x v="0"/>
    <s v="Автобус"/>
    <n v="244"/>
    <m/>
  </r>
  <r>
    <n v="39"/>
    <x v="8"/>
    <x v="261"/>
    <x v="1"/>
    <s v="Отпуск"/>
    <n v="600"/>
    <m/>
  </r>
  <r>
    <n v="39"/>
    <x v="8"/>
    <x v="261"/>
    <x v="3"/>
    <s v="Шаверма"/>
    <n v="259"/>
    <m/>
  </r>
  <r>
    <n v="39"/>
    <x v="8"/>
    <x v="262"/>
    <x v="0"/>
    <s v="Автобус"/>
    <n v="104"/>
    <m/>
  </r>
  <r>
    <n v="39"/>
    <x v="8"/>
    <x v="262"/>
    <x v="3"/>
    <s v="Фаст-Фуд"/>
    <n v="420"/>
    <m/>
  </r>
  <r>
    <n v="39"/>
    <x v="8"/>
    <x v="262"/>
    <x v="0"/>
    <s v="Автобус"/>
    <n v="64"/>
    <m/>
  </r>
  <r>
    <n v="39"/>
    <x v="8"/>
    <x v="262"/>
    <x v="3"/>
    <s v="Обед (работа)"/>
    <n v="74"/>
    <m/>
  </r>
  <r>
    <n v="39"/>
    <x v="8"/>
    <x v="262"/>
    <x v="4"/>
    <s v="Еда"/>
    <n v="142"/>
    <m/>
  </r>
  <r>
    <n v="39"/>
    <x v="8"/>
    <x v="263"/>
    <x v="0"/>
    <s v="Автобус"/>
    <n v="64"/>
    <m/>
  </r>
  <r>
    <n v="39"/>
    <x v="8"/>
    <x v="263"/>
    <x v="8"/>
    <s v="Мобил.инет"/>
    <n v="300"/>
    <m/>
  </r>
  <r>
    <n v="39"/>
    <x v="8"/>
    <x v="263"/>
    <x v="3"/>
    <s v="Обед (работа)"/>
    <n v="101"/>
    <m/>
  </r>
  <r>
    <n v="39"/>
    <x v="8"/>
    <x v="263"/>
    <x v="4"/>
    <s v="Еда"/>
    <n v="85"/>
    <m/>
  </r>
  <r>
    <n v="39"/>
    <x v="8"/>
    <x v="264"/>
    <x v="0"/>
    <s v="Автобус"/>
    <n v="64"/>
    <m/>
  </r>
  <r>
    <n v="39"/>
    <x v="8"/>
    <x v="264"/>
    <x v="3"/>
    <s v="Обед (работа)"/>
    <n v="96"/>
    <m/>
  </r>
  <r>
    <n v="39"/>
    <x v="8"/>
    <x v="264"/>
    <x v="4"/>
    <s v="Еда"/>
    <n v="90"/>
    <m/>
  </r>
  <r>
    <n v="40"/>
    <x v="8"/>
    <x v="265"/>
    <x v="4"/>
    <s v="Еда"/>
    <n v="236"/>
    <m/>
  </r>
  <r>
    <n v="40"/>
    <x v="8"/>
    <x v="266"/>
    <x v="7"/>
    <s v="Уход за собой"/>
    <n v="410"/>
    <m/>
  </r>
  <r>
    <n v="40"/>
    <x v="8"/>
    <x v="266"/>
    <x v="5"/>
    <s v="Прочее"/>
    <n v="264"/>
    <m/>
  </r>
  <r>
    <n v="40"/>
    <x v="8"/>
    <x v="267"/>
    <x v="0"/>
    <s v="Автобус"/>
    <n v="32"/>
    <m/>
  </r>
  <r>
    <n v="40"/>
    <x v="8"/>
    <x v="267"/>
    <x v="2"/>
    <s v="Кредитка"/>
    <n v="600"/>
    <m/>
  </r>
  <r>
    <n v="40"/>
    <x v="8"/>
    <x v="267"/>
    <x v="2"/>
    <s v="Кредитка"/>
    <n v="1270"/>
    <s v="Долг"/>
  </r>
  <r>
    <n v="40"/>
    <x v="8"/>
    <x v="267"/>
    <x v="2"/>
    <s v="Обучение"/>
    <n v="337"/>
    <m/>
  </r>
  <r>
    <n v="40"/>
    <x v="8"/>
    <x v="267"/>
    <x v="2"/>
    <s v="Здоровье"/>
    <n v="300"/>
    <m/>
  </r>
  <r>
    <n v="40"/>
    <x v="8"/>
    <x v="267"/>
    <x v="2"/>
    <s v="Пополнение Инвест.Портфеля"/>
    <n v="700"/>
    <m/>
  </r>
  <r>
    <n v="40"/>
    <x v="8"/>
    <x v="267"/>
    <x v="2"/>
    <s v="Прочее"/>
    <n v="200"/>
    <m/>
  </r>
  <r>
    <n v="40"/>
    <x v="8"/>
    <x v="267"/>
    <x v="7"/>
    <s v="Проф.услуги"/>
    <n v="1900"/>
    <m/>
  </r>
  <r>
    <n v="40"/>
    <x v="8"/>
    <x v="267"/>
    <x v="7"/>
    <s v="Аптека"/>
    <n v="1109"/>
    <m/>
  </r>
  <r>
    <n v="40"/>
    <x v="8"/>
    <x v="267"/>
    <x v="7"/>
    <s v="Уход за собой"/>
    <n v="175"/>
    <m/>
  </r>
  <r>
    <n v="40"/>
    <x v="8"/>
    <x v="267"/>
    <x v="3"/>
    <s v="Ресторан"/>
    <n v="598"/>
    <m/>
  </r>
  <r>
    <n v="40"/>
    <x v="8"/>
    <x v="267"/>
    <x v="4"/>
    <s v="Еда"/>
    <n v="90"/>
    <m/>
  </r>
  <r>
    <n v="40"/>
    <x v="8"/>
    <x v="268"/>
    <x v="0"/>
    <s v="Автобус"/>
    <n v="64"/>
    <m/>
  </r>
  <r>
    <n v="40"/>
    <x v="8"/>
    <x v="268"/>
    <x v="3"/>
    <s v="Обед (работа)"/>
    <n v="301"/>
    <m/>
  </r>
  <r>
    <n v="40"/>
    <x v="8"/>
    <x v="268"/>
    <x v="4"/>
    <s v="Еда"/>
    <n v="478"/>
    <m/>
  </r>
  <r>
    <n v="40"/>
    <x v="8"/>
    <x v="269"/>
    <x v="0"/>
    <s v="Автобус"/>
    <n v="64"/>
    <m/>
  </r>
  <r>
    <n v="40"/>
    <x v="8"/>
    <x v="269"/>
    <x v="3"/>
    <s v="Обед (работа)"/>
    <n v="303"/>
    <m/>
  </r>
  <r>
    <n v="40"/>
    <x v="8"/>
    <x v="269"/>
    <x v="4"/>
    <s v="Еда"/>
    <n v="63"/>
    <m/>
  </r>
  <r>
    <n v="40"/>
    <x v="8"/>
    <x v="270"/>
    <x v="0"/>
    <s v="Автобус"/>
    <n v="32"/>
    <m/>
  </r>
  <r>
    <n v="40"/>
    <x v="8"/>
    <x v="270"/>
    <x v="3"/>
    <s v="Обед (работа)"/>
    <n v="323"/>
    <m/>
  </r>
  <r>
    <n v="40"/>
    <x v="8"/>
    <x v="270"/>
    <x v="5"/>
    <s v="Прочее"/>
    <n v="500"/>
    <m/>
  </r>
  <r>
    <n v="40"/>
    <x v="8"/>
    <x v="270"/>
    <x v="4"/>
    <s v="Еда"/>
    <n v="339"/>
    <m/>
  </r>
  <r>
    <n v="40"/>
    <x v="8"/>
    <x v="270"/>
    <x v="2"/>
    <s v="Обучение"/>
    <n v="200"/>
    <m/>
  </r>
  <r>
    <n v="40"/>
    <x v="8"/>
    <x v="270"/>
    <x v="2"/>
    <s v="Здоровье"/>
    <n v="400"/>
    <m/>
  </r>
  <r>
    <n v="40"/>
    <x v="8"/>
    <x v="270"/>
    <x v="2"/>
    <s v="Пополнение Инвест.Портфеля"/>
    <n v="700"/>
    <m/>
  </r>
  <r>
    <n v="40"/>
    <x v="8"/>
    <x v="270"/>
    <x v="2"/>
    <s v="Прочее"/>
    <n v="200"/>
    <m/>
  </r>
  <r>
    <n v="40"/>
    <x v="8"/>
    <x v="270"/>
    <x v="2"/>
    <s v="Кредитка"/>
    <n v="600"/>
    <m/>
  </r>
  <r>
    <n v="40"/>
    <x v="9"/>
    <x v="271"/>
    <x v="2"/>
    <s v="Кредитка"/>
    <n v="100"/>
    <m/>
  </r>
  <r>
    <n v="40"/>
    <x v="9"/>
    <x v="271"/>
    <x v="8"/>
    <s v="Интернет"/>
    <n v="300"/>
    <m/>
  </r>
  <r>
    <n v="40"/>
    <x v="9"/>
    <x v="271"/>
    <x v="0"/>
    <s v="Автобус"/>
    <n v="64"/>
    <m/>
  </r>
  <r>
    <n v="40"/>
    <x v="9"/>
    <x v="271"/>
    <x v="3"/>
    <s v="Обед (работа)"/>
    <n v="415"/>
    <m/>
  </r>
  <r>
    <n v="40"/>
    <x v="9"/>
    <x v="271"/>
    <x v="4"/>
    <s v="Еда"/>
    <n v="109"/>
    <m/>
  </r>
  <r>
    <n v="41"/>
    <x v="9"/>
    <x v="272"/>
    <x v="0"/>
    <s v="Межгород"/>
    <n v="260"/>
    <m/>
  </r>
  <r>
    <n v="41"/>
    <x v="9"/>
    <x v="272"/>
    <x v="3"/>
    <s v="Кофейня"/>
    <n v="145"/>
    <m/>
  </r>
  <r>
    <n v="41"/>
    <x v="9"/>
    <x v="272"/>
    <x v="3"/>
    <s v="Фаст-Фуд"/>
    <n v="140"/>
    <m/>
  </r>
  <r>
    <n v="41"/>
    <x v="9"/>
    <x v="272"/>
    <x v="3"/>
    <s v="Перекус"/>
    <n v="20"/>
    <m/>
  </r>
  <r>
    <n v="41"/>
    <x v="9"/>
    <x v="272"/>
    <x v="4"/>
    <s v="Еда"/>
    <n v="153"/>
    <m/>
  </r>
  <r>
    <n v="41"/>
    <x v="9"/>
    <x v="272"/>
    <x v="0"/>
    <s v="Автобус"/>
    <n v="32"/>
    <m/>
  </r>
  <r>
    <n v="41"/>
    <x v="9"/>
    <x v="273"/>
    <x v="4"/>
    <s v="Еда"/>
    <n v="1208"/>
    <m/>
  </r>
  <r>
    <n v="41"/>
    <x v="9"/>
    <x v="274"/>
    <x v="0"/>
    <s v="Автобус"/>
    <n v="64"/>
    <m/>
  </r>
  <r>
    <n v="41"/>
    <x v="9"/>
    <x v="274"/>
    <x v="3"/>
    <s v="Обед (работа)"/>
    <n v="310"/>
    <m/>
  </r>
  <r>
    <n v="41"/>
    <x v="9"/>
    <x v="274"/>
    <x v="3"/>
    <s v="Перекус"/>
    <n v="50"/>
    <m/>
  </r>
  <r>
    <n v="41"/>
    <x v="9"/>
    <x v="275"/>
    <x v="0"/>
    <s v="Автобус"/>
    <n v="64"/>
    <m/>
  </r>
  <r>
    <n v="41"/>
    <x v="9"/>
    <x v="275"/>
    <x v="3"/>
    <s v="Обед (работа)"/>
    <n v="247"/>
    <m/>
  </r>
  <r>
    <n v="41"/>
    <x v="9"/>
    <x v="275"/>
    <x v="2"/>
    <s v="Кредитка"/>
    <n v="400"/>
    <m/>
  </r>
  <r>
    <n v="41"/>
    <x v="9"/>
    <x v="275"/>
    <x v="4"/>
    <s v="Еда"/>
    <n v="150"/>
    <m/>
  </r>
  <r>
    <n v="41"/>
    <x v="9"/>
    <x v="276"/>
    <x v="0"/>
    <s v="Автобус"/>
    <n v="64"/>
    <m/>
  </r>
  <r>
    <n v="41"/>
    <x v="9"/>
    <x v="276"/>
    <x v="3"/>
    <s v="Обед (работа)"/>
    <n v="377"/>
    <m/>
  </r>
  <r>
    <n v="41"/>
    <x v="9"/>
    <x v="276"/>
    <x v="4"/>
    <s v="Еда"/>
    <n v="193"/>
    <m/>
  </r>
  <r>
    <n v="41"/>
    <x v="9"/>
    <x v="277"/>
    <x v="0"/>
    <s v="Автобус"/>
    <n v="96"/>
    <m/>
  </r>
  <r>
    <n v="41"/>
    <x v="9"/>
    <x v="277"/>
    <x v="0"/>
    <s v="Такси"/>
    <n v="410"/>
    <m/>
  </r>
  <r>
    <n v="41"/>
    <x v="9"/>
    <x v="277"/>
    <x v="3"/>
    <s v="Перекус"/>
    <n v="310"/>
    <m/>
  </r>
  <r>
    <n v="41"/>
    <x v="9"/>
    <x v="277"/>
    <x v="5"/>
    <s v="Одежда"/>
    <n v="2397"/>
    <m/>
  </r>
  <r>
    <n v="41"/>
    <x v="9"/>
    <x v="277"/>
    <x v="5"/>
    <s v="Прочее"/>
    <n v="100"/>
    <m/>
  </r>
  <r>
    <n v="41"/>
    <x v="9"/>
    <x v="278"/>
    <x v="4"/>
    <s v="Еда"/>
    <n v="816"/>
    <m/>
  </r>
  <r>
    <n v="42"/>
    <x v="9"/>
    <x v="279"/>
    <x v="3"/>
    <s v="Кофейня"/>
    <n v="340"/>
    <m/>
  </r>
  <r>
    <n v="42"/>
    <x v="9"/>
    <x v="279"/>
    <x v="3"/>
    <s v="Перекус"/>
    <n v="235"/>
    <m/>
  </r>
  <r>
    <n v="42"/>
    <x v="9"/>
    <x v="280"/>
    <x v="0"/>
    <s v="Автобус"/>
    <n v="64"/>
    <m/>
  </r>
  <r>
    <n v="42"/>
    <x v="9"/>
    <x v="280"/>
    <x v="3"/>
    <s v="Обед (работа)"/>
    <n v="230"/>
    <m/>
  </r>
  <r>
    <n v="42"/>
    <x v="9"/>
    <x v="280"/>
    <x v="4"/>
    <s v="Еда"/>
    <n v="195"/>
    <m/>
  </r>
  <r>
    <n v="42"/>
    <x v="9"/>
    <x v="281"/>
    <x v="0"/>
    <s v="Автобус"/>
    <n v="64"/>
    <m/>
  </r>
  <r>
    <n v="42"/>
    <x v="9"/>
    <x v="281"/>
    <x v="3"/>
    <s v="Обед (работа)"/>
    <n v="220"/>
    <m/>
  </r>
  <r>
    <n v="42"/>
    <x v="9"/>
    <x v="281"/>
    <x v="4"/>
    <s v="Еда"/>
    <n v="532"/>
    <m/>
  </r>
  <r>
    <n v="42"/>
    <x v="9"/>
    <x v="282"/>
    <x v="0"/>
    <s v="Автобус"/>
    <n v="64"/>
    <m/>
  </r>
  <r>
    <n v="42"/>
    <x v="9"/>
    <x v="282"/>
    <x v="3"/>
    <s v="Обед (работа)"/>
    <n v="214"/>
    <m/>
  </r>
  <r>
    <n v="42"/>
    <x v="9"/>
    <x v="282"/>
    <x v="4"/>
    <s v="Еда"/>
    <n v="99"/>
    <m/>
  </r>
  <r>
    <n v="42"/>
    <x v="9"/>
    <x v="283"/>
    <x v="0"/>
    <s v="Автобус"/>
    <n v="64"/>
    <m/>
  </r>
  <r>
    <n v="42"/>
    <x v="9"/>
    <x v="283"/>
    <x v="3"/>
    <s v="Обед (работа)"/>
    <n v="338"/>
    <m/>
  </r>
  <r>
    <n v="42"/>
    <x v="9"/>
    <x v="283"/>
    <x v="4"/>
    <s v="Еда"/>
    <n v="175"/>
    <m/>
  </r>
  <r>
    <n v="42"/>
    <x v="9"/>
    <x v="284"/>
    <x v="2"/>
    <s v="Кредитка"/>
    <n v="250"/>
    <m/>
  </r>
  <r>
    <n v="42"/>
    <x v="9"/>
    <x v="284"/>
    <x v="2"/>
    <s v="Кредитка"/>
    <n v="500"/>
    <m/>
  </r>
  <r>
    <n v="42"/>
    <x v="9"/>
    <x v="284"/>
    <x v="1"/>
    <s v="Алкоголь"/>
    <n v="100"/>
    <m/>
  </r>
  <r>
    <n v="42"/>
    <x v="9"/>
    <x v="284"/>
    <x v="4"/>
    <s v="еда"/>
    <n v="156"/>
    <m/>
  </r>
  <r>
    <n v="42"/>
    <x v="9"/>
    <x v="285"/>
    <x v="2"/>
    <s v="Здоровье"/>
    <n v="100"/>
    <m/>
  </r>
  <r>
    <n v="42"/>
    <x v="9"/>
    <x v="285"/>
    <x v="2"/>
    <s v="Прочее"/>
    <n v="100"/>
    <m/>
  </r>
  <r>
    <n v="42"/>
    <x v="9"/>
    <x v="285"/>
    <x v="2"/>
    <s v="Пополнение Инвест.Портфеля"/>
    <n v="200"/>
    <m/>
  </r>
  <r>
    <n v="42"/>
    <x v="9"/>
    <x v="285"/>
    <x v="2"/>
    <s v="365 дней (цель)"/>
    <n v="100"/>
    <m/>
  </r>
  <r>
    <n v="42"/>
    <x v="9"/>
    <x v="285"/>
    <x v="2"/>
    <s v="Заначка"/>
    <n v="100"/>
    <m/>
  </r>
  <r>
    <n v="42"/>
    <x v="9"/>
    <x v="285"/>
    <x v="4"/>
    <s v="Еда"/>
    <n v="1143"/>
    <m/>
  </r>
  <r>
    <n v="42"/>
    <x v="9"/>
    <x v="285"/>
    <x v="1"/>
    <s v="Активный"/>
    <n v="750"/>
    <m/>
  </r>
  <r>
    <n v="42"/>
    <x v="9"/>
    <x v="285"/>
    <x v="0"/>
    <s v="Автобус"/>
    <n v="32"/>
    <m/>
  </r>
  <r>
    <n v="43"/>
    <x v="9"/>
    <x v="286"/>
    <x v="0"/>
    <s v="Автобус"/>
    <n v="64"/>
    <m/>
  </r>
  <r>
    <n v="43"/>
    <x v="9"/>
    <x v="286"/>
    <x v="4"/>
    <s v="Еда"/>
    <n v="40"/>
    <m/>
  </r>
  <r>
    <n v="43"/>
    <x v="9"/>
    <x v="286"/>
    <x v="3"/>
    <s v="Обед (работа)"/>
    <n v="163"/>
    <m/>
  </r>
  <r>
    <n v="43"/>
    <x v="9"/>
    <x v="286"/>
    <x v="3"/>
    <s v="Перекус"/>
    <n v="40"/>
    <m/>
  </r>
  <r>
    <n v="43"/>
    <x v="9"/>
    <x v="287"/>
    <x v="0"/>
    <s v="Автобус"/>
    <n v="64"/>
    <m/>
  </r>
  <r>
    <n v="43"/>
    <x v="9"/>
    <x v="287"/>
    <x v="3"/>
    <s v="Обед (работа)"/>
    <n v="205"/>
    <m/>
  </r>
  <r>
    <n v="43"/>
    <x v="9"/>
    <x v="287"/>
    <x v="3"/>
    <s v="Перекус"/>
    <n v="35"/>
    <m/>
  </r>
  <r>
    <n v="43"/>
    <x v="9"/>
    <x v="288"/>
    <x v="0"/>
    <s v="Автобус"/>
    <n v="64"/>
    <m/>
  </r>
  <r>
    <n v="43"/>
    <x v="9"/>
    <x v="288"/>
    <x v="3"/>
    <s v="Обед (работа)"/>
    <n v="248"/>
    <m/>
  </r>
  <r>
    <n v="43"/>
    <x v="9"/>
    <x v="288"/>
    <x v="4"/>
    <s v="Еда"/>
    <n v="108"/>
    <m/>
  </r>
  <r>
    <n v="43"/>
    <x v="9"/>
    <x v="288"/>
    <x v="3"/>
    <s v="Перекус"/>
    <n v="40"/>
    <m/>
  </r>
  <r>
    <n v="43"/>
    <x v="9"/>
    <x v="289"/>
    <x v="4"/>
    <s v="Еда"/>
    <n v="783"/>
    <m/>
  </r>
  <r>
    <n v="43"/>
    <x v="9"/>
    <x v="290"/>
    <x v="5"/>
    <s v="Одежда"/>
    <n v="129"/>
    <m/>
  </r>
  <r>
    <n v="43"/>
    <x v="9"/>
    <x v="290"/>
    <x v="4"/>
    <s v="Еда"/>
    <n v="264"/>
    <m/>
  </r>
  <r>
    <n v="43"/>
    <x v="9"/>
    <x v="291"/>
    <x v="4"/>
    <s v="Еда"/>
    <n v="390"/>
    <m/>
  </r>
  <r>
    <n v="43"/>
    <x v="9"/>
    <x v="291"/>
    <x v="1"/>
    <s v="Алкоголь"/>
    <n v="150"/>
    <m/>
  </r>
  <r>
    <n v="43"/>
    <x v="9"/>
    <x v="292"/>
    <x v="0"/>
    <s v="Автобус"/>
    <n v="64"/>
    <m/>
  </r>
  <r>
    <n v="43"/>
    <x v="9"/>
    <x v="292"/>
    <x v="3"/>
    <s v="Обед (работа)"/>
    <n v="275"/>
    <m/>
  </r>
  <r>
    <n v="43"/>
    <x v="9"/>
    <x v="292"/>
    <x v="3"/>
    <s v="Перекус"/>
    <n v="36"/>
    <m/>
  </r>
  <r>
    <n v="44"/>
    <x v="9"/>
    <x v="293"/>
    <x v="0"/>
    <s v="Автобус"/>
    <n v="64"/>
    <m/>
  </r>
  <r>
    <n v="44"/>
    <x v="9"/>
    <x v="293"/>
    <x v="3"/>
    <s v="Обед (работа)"/>
    <n v="225"/>
    <m/>
  </r>
  <r>
    <n v="44"/>
    <x v="9"/>
    <x v="293"/>
    <x v="4"/>
    <s v="Еда"/>
    <n v="172"/>
    <m/>
  </r>
  <r>
    <n v="44"/>
    <x v="9"/>
    <x v="293"/>
    <x v="8"/>
    <s v="Мобил.инет"/>
    <n v="325"/>
    <m/>
  </r>
  <r>
    <n v="44"/>
    <x v="9"/>
    <x v="293"/>
    <x v="2"/>
    <s v="Прочее"/>
    <n v="1000"/>
    <m/>
  </r>
  <r>
    <n v="44"/>
    <x v="9"/>
    <x v="294"/>
    <x v="0"/>
    <s v="Автобус"/>
    <n v="64"/>
    <m/>
  </r>
  <r>
    <n v="44"/>
    <x v="9"/>
    <x v="294"/>
    <x v="3"/>
    <s v="Обед (работа)"/>
    <n v="257"/>
    <m/>
  </r>
  <r>
    <n v="44"/>
    <x v="9"/>
    <x v="294"/>
    <x v="4"/>
    <s v="Еда"/>
    <n v="111"/>
    <m/>
  </r>
  <r>
    <n v="44"/>
    <x v="9"/>
    <x v="295"/>
    <x v="2"/>
    <s v="Кредитка"/>
    <n v="140"/>
    <m/>
  </r>
  <r>
    <n v="44"/>
    <x v="9"/>
    <x v="295"/>
    <x v="5"/>
    <s v="Прочее"/>
    <n v="20"/>
    <m/>
  </r>
  <r>
    <n v="44"/>
    <x v="9"/>
    <x v="295"/>
    <x v="3"/>
    <s v="Ресторан"/>
    <n v="629"/>
    <m/>
  </r>
  <r>
    <n v="44"/>
    <x v="9"/>
    <x v="296"/>
    <x v="0"/>
    <s v="Автобус"/>
    <n v="64"/>
    <m/>
  </r>
  <r>
    <n v="44"/>
    <x v="9"/>
    <x v="296"/>
    <x v="7"/>
    <s v="Уход за собой"/>
    <n v="700"/>
    <m/>
  </r>
  <r>
    <n v="44"/>
    <x v="9"/>
    <x v="296"/>
    <x v="4"/>
    <s v="Еда"/>
    <n v="95"/>
    <m/>
  </r>
  <r>
    <n v="44"/>
    <x v="9"/>
    <x v="296"/>
    <x v="3"/>
    <s v="Перекус"/>
    <n v="526"/>
    <m/>
  </r>
  <r>
    <n v="44"/>
    <x v="9"/>
    <x v="297"/>
    <x v="7"/>
    <s v="Спорт зал"/>
    <n v="752"/>
    <m/>
  </r>
  <r>
    <n v="44"/>
    <x v="9"/>
    <x v="297"/>
    <x v="7"/>
    <s v="Уход за собой"/>
    <n v="250"/>
    <m/>
  </r>
  <r>
    <n v="44"/>
    <x v="9"/>
    <x v="297"/>
    <x v="2"/>
    <s v="Кредитка"/>
    <n v="2000"/>
    <m/>
  </r>
  <r>
    <n v="44"/>
    <x v="9"/>
    <x v="297"/>
    <x v="2"/>
    <s v="Здоровье"/>
    <n v="500"/>
    <m/>
  </r>
  <r>
    <n v="44"/>
    <x v="9"/>
    <x v="297"/>
    <x v="2"/>
    <s v="Пополнение Инвест.Портфеля"/>
    <n v="1000"/>
    <m/>
  </r>
  <r>
    <n v="44"/>
    <x v="9"/>
    <x v="297"/>
    <x v="2"/>
    <s v="Прочее"/>
    <n v="200"/>
    <m/>
  </r>
  <r>
    <n v="44"/>
    <x v="9"/>
    <x v="297"/>
    <x v="2"/>
    <s v="Обучение"/>
    <n v="300"/>
    <m/>
  </r>
  <r>
    <n v="44"/>
    <x v="9"/>
    <x v="297"/>
    <x v="4"/>
    <s v="Еда"/>
    <n v="1258"/>
    <m/>
  </r>
  <r>
    <n v="44"/>
    <x v="9"/>
    <x v="298"/>
    <x v="0"/>
    <s v="Автобус"/>
    <n v="64"/>
    <m/>
  </r>
  <r>
    <n v="44"/>
    <x v="9"/>
    <x v="298"/>
    <x v="3"/>
    <s v="Обед (работа)"/>
    <n v="161"/>
    <m/>
  </r>
  <r>
    <n v="44"/>
    <x v="9"/>
    <x v="298"/>
    <x v="8"/>
    <s v="Интернет"/>
    <n v="250"/>
    <m/>
  </r>
  <r>
    <n v="44"/>
    <x v="9"/>
    <x v="298"/>
    <x v="2"/>
    <s v="Кредитка"/>
    <n v="1000"/>
    <m/>
  </r>
  <r>
    <n v="44"/>
    <x v="9"/>
    <x v="298"/>
    <x v="2"/>
    <s v="Обучение"/>
    <n v="200"/>
    <m/>
  </r>
  <r>
    <n v="44"/>
    <x v="9"/>
    <x v="298"/>
    <x v="2"/>
    <s v="Здоровье"/>
    <n v="200"/>
    <m/>
  </r>
  <r>
    <n v="44"/>
    <x v="9"/>
    <x v="298"/>
    <x v="2"/>
    <s v="Пополнение Инвест.Портфеля"/>
    <n v="500"/>
    <m/>
  </r>
  <r>
    <n v="44"/>
    <x v="9"/>
    <x v="298"/>
    <x v="2"/>
    <s v="Прочее"/>
    <n v="200"/>
    <m/>
  </r>
  <r>
    <n v="44"/>
    <x v="9"/>
    <x v="299"/>
    <x v="0"/>
    <s v="Автобус"/>
    <n v="64"/>
    <m/>
  </r>
  <r>
    <n v="44"/>
    <x v="9"/>
    <x v="299"/>
    <x v="3"/>
    <s v="Обед (работа)"/>
    <n v="182"/>
    <m/>
  </r>
  <r>
    <n v="44"/>
    <x v="9"/>
    <x v="299"/>
    <x v="3"/>
    <s v="Перекус"/>
    <n v="35"/>
    <m/>
  </r>
  <r>
    <n v="44"/>
    <x v="9"/>
    <x v="299"/>
    <x v="2"/>
    <s v="Кредитка"/>
    <n v="200"/>
    <m/>
  </r>
  <r>
    <n v="45"/>
    <x v="9"/>
    <x v="300"/>
    <x v="0"/>
    <s v="Автобус"/>
    <n v="64"/>
    <m/>
  </r>
  <r>
    <n v="45"/>
    <x v="9"/>
    <x v="300"/>
    <x v="2"/>
    <s v="Кредитка"/>
    <n v="150"/>
    <m/>
  </r>
  <r>
    <n v="45"/>
    <x v="9"/>
    <x v="300"/>
    <x v="3"/>
    <s v="Обед (работа)"/>
    <n v="461"/>
    <m/>
  </r>
  <r>
    <n v="45"/>
    <x v="9"/>
    <x v="301"/>
    <x v="4"/>
    <s v="Еда"/>
    <n v="611"/>
    <m/>
  </r>
  <r>
    <n v="45"/>
    <x v="9"/>
    <x v="301"/>
    <x v="2"/>
    <s v="Заначка"/>
    <n v="10000"/>
    <m/>
  </r>
  <r>
    <n v="45"/>
    <x v="10"/>
    <x v="302"/>
    <x v="0"/>
    <s v="Межгород"/>
    <n v="552"/>
    <m/>
  </r>
  <r>
    <n v="45"/>
    <x v="10"/>
    <x v="302"/>
    <x v="3"/>
    <s v="Перекус"/>
    <n v="26"/>
    <m/>
  </r>
  <r>
    <n v="45"/>
    <x v="10"/>
    <x v="303"/>
    <x v="9"/>
    <s v="Друзья"/>
    <n v="590"/>
    <m/>
  </r>
  <r>
    <n v="45"/>
    <x v="10"/>
    <x v="303"/>
    <x v="4"/>
    <s v="Еда"/>
    <n v="274"/>
    <m/>
  </r>
  <r>
    <n v="45"/>
    <x v="10"/>
    <x v="303"/>
    <x v="2"/>
    <s v="Кредитка"/>
    <n v="150"/>
    <m/>
  </r>
  <r>
    <n v="45"/>
    <x v="10"/>
    <x v="304"/>
    <x v="0"/>
    <s v="Автобус"/>
    <n v="64"/>
    <m/>
  </r>
  <r>
    <n v="45"/>
    <x v="10"/>
    <x v="304"/>
    <x v="3"/>
    <s v="Обед (работа)"/>
    <n v="280"/>
    <m/>
  </r>
  <r>
    <n v="45"/>
    <x v="10"/>
    <x v="304"/>
    <x v="3"/>
    <s v="Перекус"/>
    <n v="35"/>
    <m/>
  </r>
  <r>
    <n v="45"/>
    <x v="10"/>
    <x v="304"/>
    <x v="2"/>
    <s v="Кредитка"/>
    <n v="100"/>
    <m/>
  </r>
  <r>
    <n v="45"/>
    <x v="10"/>
    <x v="305"/>
    <x v="0"/>
    <s v="Автобус"/>
    <n v="64"/>
    <m/>
  </r>
  <r>
    <n v="45"/>
    <x v="10"/>
    <x v="305"/>
    <x v="3"/>
    <s v="Обед (работа)"/>
    <n v="329"/>
    <m/>
  </r>
  <r>
    <n v="45"/>
    <x v="10"/>
    <x v="305"/>
    <x v="2"/>
    <s v="Кредитка"/>
    <n v="100"/>
    <m/>
  </r>
  <r>
    <n v="45"/>
    <x v="10"/>
    <x v="305"/>
    <x v="4"/>
    <s v="Еда"/>
    <n v="84"/>
    <m/>
  </r>
  <r>
    <n v="45"/>
    <x v="10"/>
    <x v="306"/>
    <x v="0"/>
    <s v="Автобус"/>
    <n v="64"/>
    <m/>
  </r>
  <r>
    <n v="45"/>
    <x v="10"/>
    <x v="306"/>
    <x v="3"/>
    <s v="Обед (работа)"/>
    <n v="260"/>
    <m/>
  </r>
  <r>
    <n v="45"/>
    <x v="10"/>
    <x v="306"/>
    <x v="4"/>
    <s v="Еда"/>
    <n v="90"/>
    <m/>
  </r>
  <r>
    <n v="46"/>
    <x v="10"/>
    <x v="307"/>
    <x v="4"/>
    <s v="Еда"/>
    <n v="274"/>
    <m/>
  </r>
  <r>
    <n v="46"/>
    <x v="10"/>
    <x v="307"/>
    <x v="3"/>
    <s v="Перекус"/>
    <n v="670"/>
    <m/>
  </r>
  <r>
    <n v="46"/>
    <x v="10"/>
    <x v="308"/>
    <x v="4"/>
    <s v="Еда"/>
    <n v="1223"/>
    <m/>
  </r>
  <r>
    <n v="46"/>
    <x v="10"/>
    <x v="308"/>
    <x v="3"/>
    <s v="Кофейня"/>
    <n v="149"/>
    <m/>
  </r>
  <r>
    <n v="46"/>
    <x v="10"/>
    <x v="308"/>
    <x v="5"/>
    <s v="Прочее"/>
    <n v="10"/>
    <m/>
  </r>
  <r>
    <n v="46"/>
    <x v="10"/>
    <x v="309"/>
    <x v="7"/>
    <s v="Спорт зал"/>
    <n v="500"/>
    <m/>
  </r>
  <r>
    <n v="46"/>
    <x v="10"/>
    <x v="309"/>
    <x v="5"/>
    <s v="Прочее"/>
    <n v="330"/>
    <m/>
  </r>
  <r>
    <n v="46"/>
    <x v="10"/>
    <x v="309"/>
    <x v="3"/>
    <s v="Перекус"/>
    <n v="274"/>
    <m/>
  </r>
  <r>
    <n v="46"/>
    <x v="10"/>
    <x v="310"/>
    <x v="0"/>
    <s v="Автобус"/>
    <n v="64"/>
    <m/>
  </r>
  <r>
    <n v="46"/>
    <x v="10"/>
    <x v="310"/>
    <x v="3"/>
    <s v="Обед (работа)"/>
    <n v="287"/>
    <m/>
  </r>
  <r>
    <n v="46"/>
    <x v="10"/>
    <x v="311"/>
    <x v="0"/>
    <s v="Автобус"/>
    <n v="64"/>
    <m/>
  </r>
  <r>
    <n v="46"/>
    <x v="10"/>
    <x v="311"/>
    <x v="3"/>
    <s v="Обед (работа)"/>
    <n v="275"/>
    <m/>
  </r>
  <r>
    <n v="46"/>
    <x v="10"/>
    <x v="311"/>
    <x v="4"/>
    <s v="Еда"/>
    <n v="80"/>
    <m/>
  </r>
  <r>
    <n v="46"/>
    <x v="10"/>
    <x v="312"/>
    <x v="0"/>
    <s v="Автобус"/>
    <n v="96"/>
    <m/>
  </r>
  <r>
    <n v="46"/>
    <x v="10"/>
    <x v="312"/>
    <x v="3"/>
    <s v="Обед (работа)"/>
    <n v="344"/>
    <m/>
  </r>
  <r>
    <n v="46"/>
    <x v="10"/>
    <x v="312"/>
    <x v="4"/>
    <s v="Еда"/>
    <n v="260"/>
    <m/>
  </r>
  <r>
    <n v="46"/>
    <x v="10"/>
    <x v="313"/>
    <x v="4"/>
    <s v="Еда"/>
    <n v="123"/>
    <m/>
  </r>
  <r>
    <n v="46"/>
    <x v="10"/>
    <x v="313"/>
    <x v="1"/>
    <s v="Алкоголь"/>
    <n v="298"/>
    <m/>
  </r>
  <r>
    <n v="46"/>
    <x v="10"/>
    <x v="313"/>
    <x v="0"/>
    <s v="Автобус"/>
    <n v="32"/>
    <m/>
  </r>
  <r>
    <n v="46"/>
    <x v="10"/>
    <x v="313"/>
    <x v="3"/>
    <s v="Сладости"/>
    <n v="155"/>
    <m/>
  </r>
  <r>
    <n v="46"/>
    <x v="10"/>
    <x v="313"/>
    <x v="2"/>
    <s v="Кредитка"/>
    <n v="100"/>
    <m/>
  </r>
  <r>
    <n v="47"/>
    <x v="10"/>
    <x v="314"/>
    <x v="0"/>
    <s v="Такси"/>
    <n v="250"/>
    <m/>
  </r>
  <r>
    <n v="47"/>
    <x v="10"/>
    <x v="314"/>
    <x v="2"/>
    <s v="Кредитка"/>
    <n v="100"/>
    <m/>
  </r>
  <r>
    <n v="47"/>
    <x v="10"/>
    <x v="314"/>
    <x v="3"/>
    <s v="Сладости"/>
    <n v="192"/>
    <m/>
  </r>
  <r>
    <n v="47"/>
    <x v="10"/>
    <x v="314"/>
    <x v="4"/>
    <s v="Еда"/>
    <n v="184"/>
    <m/>
  </r>
  <r>
    <n v="47"/>
    <x v="10"/>
    <x v="315"/>
    <x v="4"/>
    <s v="Еда"/>
    <n v="596"/>
    <m/>
  </r>
  <r>
    <n v="47"/>
    <x v="10"/>
    <x v="315"/>
    <x v="2"/>
    <s v="Кредитка"/>
    <n v="100"/>
    <m/>
  </r>
  <r>
    <n v="47"/>
    <x v="10"/>
    <x v="316"/>
    <x v="0"/>
    <s v="Автобус"/>
    <n v="64"/>
    <m/>
  </r>
  <r>
    <n v="47"/>
    <x v="10"/>
    <x v="316"/>
    <x v="3"/>
    <s v="Обед (работа)"/>
    <n v="232"/>
    <m/>
  </r>
  <r>
    <n v="47"/>
    <x v="10"/>
    <x v="316"/>
    <x v="2"/>
    <s v="Кредитка"/>
    <n v="200"/>
    <m/>
  </r>
  <r>
    <n v="47"/>
    <x v="10"/>
    <x v="316"/>
    <x v="4"/>
    <s v="Еда"/>
    <n v="75"/>
    <m/>
  </r>
  <r>
    <n v="47"/>
    <x v="10"/>
    <x v="317"/>
    <x v="0"/>
    <s v="Автобус"/>
    <n v="64"/>
    <m/>
  </r>
  <r>
    <n v="47"/>
    <x v="10"/>
    <x v="317"/>
    <x v="3"/>
    <s v="Обед (работа)"/>
    <n v="262"/>
    <m/>
  </r>
  <r>
    <n v="47"/>
    <x v="10"/>
    <x v="317"/>
    <x v="2"/>
    <s v="Кредитка"/>
    <n v="628"/>
    <m/>
  </r>
  <r>
    <n v="47"/>
    <x v="10"/>
    <x v="317"/>
    <x v="2"/>
    <s v="Прочее"/>
    <n v="150"/>
    <m/>
  </r>
  <r>
    <n v="47"/>
    <x v="10"/>
    <x v="317"/>
    <x v="2"/>
    <s v="365 дней (цель)"/>
    <n v="100"/>
    <m/>
  </r>
  <r>
    <n v="47"/>
    <x v="10"/>
    <x v="317"/>
    <x v="2"/>
    <s v="Здоровье"/>
    <n v="150"/>
    <m/>
  </r>
  <r>
    <n v="47"/>
    <x v="10"/>
    <x v="317"/>
    <x v="2"/>
    <s v="Обучение"/>
    <n v="100"/>
    <m/>
  </r>
  <r>
    <n v="47"/>
    <x v="10"/>
    <x v="317"/>
    <x v="4"/>
    <s v="Еда"/>
    <n v="60"/>
    <m/>
  </r>
  <r>
    <n v="47"/>
    <x v="10"/>
    <x v="318"/>
    <x v="0"/>
    <s v="Автобус"/>
    <n v="32"/>
    <m/>
  </r>
  <r>
    <n v="47"/>
    <x v="10"/>
    <x v="318"/>
    <x v="0"/>
    <s v="Такси"/>
    <n v="392"/>
    <m/>
  </r>
  <r>
    <n v="47"/>
    <x v="10"/>
    <x v="318"/>
    <x v="3"/>
    <s v="Обед (работа)"/>
    <n v="228"/>
    <m/>
  </r>
  <r>
    <n v="47"/>
    <x v="10"/>
    <x v="318"/>
    <x v="2"/>
    <s v="Кредитка"/>
    <n v="500"/>
    <m/>
  </r>
  <r>
    <n v="47"/>
    <x v="10"/>
    <x v="318"/>
    <x v="4"/>
    <s v="Еда"/>
    <n v="190"/>
    <m/>
  </r>
  <r>
    <n v="47"/>
    <x v="10"/>
    <x v="319"/>
    <x v="4"/>
    <s v="Еда"/>
    <n v="626"/>
    <m/>
  </r>
  <r>
    <n v="47"/>
    <x v="10"/>
    <x v="319"/>
    <x v="2"/>
    <s v="Кредитка"/>
    <n v="100"/>
    <m/>
  </r>
  <r>
    <n v="47"/>
    <x v="10"/>
    <x v="320"/>
    <x v="2"/>
    <s v="Кредитка"/>
    <n v="150"/>
    <m/>
  </r>
  <r>
    <n v="47"/>
    <x v="10"/>
    <x v="320"/>
    <x v="4"/>
    <s v="Еда"/>
    <n v="60"/>
    <m/>
  </r>
  <r>
    <n v="47"/>
    <x v="10"/>
    <x v="320"/>
    <x v="0"/>
    <s v="Автобус"/>
    <n v="32"/>
    <m/>
  </r>
  <r>
    <n v="48"/>
    <x v="10"/>
    <x v="321"/>
    <x v="1"/>
    <s v="Кальянная"/>
    <n v="1100"/>
    <m/>
  </r>
  <r>
    <n v="48"/>
    <x v="10"/>
    <x v="321"/>
    <x v="1"/>
    <s v="Алкоголь"/>
    <n v="805"/>
    <m/>
  </r>
  <r>
    <n v="48"/>
    <x v="10"/>
    <x v="321"/>
    <x v="0"/>
    <s v="Такси"/>
    <n v="360"/>
    <m/>
  </r>
  <r>
    <n v="48"/>
    <x v="10"/>
    <x v="321"/>
    <x v="2"/>
    <s v="Кредитка"/>
    <n v="100"/>
    <m/>
  </r>
  <r>
    <n v="48"/>
    <x v="10"/>
    <x v="321"/>
    <x v="4"/>
    <s v="Еда"/>
    <n v="453"/>
    <m/>
  </r>
  <r>
    <n v="48"/>
    <x v="10"/>
    <x v="322"/>
    <x v="0"/>
    <s v="Автобус"/>
    <n v="64"/>
    <m/>
  </r>
  <r>
    <n v="48"/>
    <x v="10"/>
    <x v="322"/>
    <x v="3"/>
    <s v="Обед (работа)"/>
    <n v="252"/>
    <m/>
  </r>
  <r>
    <n v="48"/>
    <x v="10"/>
    <x v="322"/>
    <x v="2"/>
    <s v="Кредитка"/>
    <n v="150"/>
    <m/>
  </r>
  <r>
    <n v="48"/>
    <x v="10"/>
    <x v="323"/>
    <x v="0"/>
    <s v="Автобус"/>
    <n v="64"/>
    <m/>
  </r>
  <r>
    <n v="48"/>
    <x v="10"/>
    <x v="323"/>
    <x v="3"/>
    <s v="Обед (работа)"/>
    <n v="189"/>
    <m/>
  </r>
  <r>
    <n v="48"/>
    <x v="10"/>
    <x v="323"/>
    <x v="2"/>
    <s v="Кредитка"/>
    <n v="150"/>
    <m/>
  </r>
  <r>
    <n v="48"/>
    <x v="10"/>
    <x v="323"/>
    <x v="4"/>
    <s v="Еда"/>
    <n v="60"/>
    <m/>
  </r>
  <r>
    <n v="48"/>
    <x v="10"/>
    <x v="324"/>
    <x v="0"/>
    <s v="Автобус"/>
    <n v="64"/>
    <m/>
  </r>
  <r>
    <n v="48"/>
    <x v="10"/>
    <x v="324"/>
    <x v="3"/>
    <s v="Обед (работа)"/>
    <n v="226"/>
    <m/>
  </r>
  <r>
    <n v="48"/>
    <x v="10"/>
    <x v="324"/>
    <x v="2"/>
    <s v="Кредитка"/>
    <n v="133"/>
    <m/>
  </r>
  <r>
    <n v="48"/>
    <x v="10"/>
    <x v="324"/>
    <x v="4"/>
    <s v="Еда"/>
    <n v="80"/>
    <m/>
  </r>
  <r>
    <n v="48"/>
    <x v="10"/>
    <x v="325"/>
    <x v="5"/>
    <s v="Одежда"/>
    <n v="1299"/>
    <s v="Брюки"/>
  </r>
  <r>
    <n v="48"/>
    <x v="10"/>
    <x v="325"/>
    <x v="5"/>
    <s v="Прочее"/>
    <n v="249"/>
    <s v="активация карты"/>
  </r>
  <r>
    <n v="48"/>
    <x v="10"/>
    <x v="325"/>
    <x v="7"/>
    <s v="Проф.услуги"/>
    <n v="350"/>
    <s v="ателье"/>
  </r>
  <r>
    <n v="48"/>
    <x v="10"/>
    <x v="325"/>
    <x v="3"/>
    <s v="Фаст-Фуд"/>
    <n v="150"/>
    <m/>
  </r>
  <r>
    <n v="48"/>
    <x v="10"/>
    <x v="325"/>
    <x v="0"/>
    <s v="Межгород"/>
    <n v="326"/>
    <m/>
  </r>
  <r>
    <n v="48"/>
    <x v="10"/>
    <x v="325"/>
    <x v="2"/>
    <s v="Кредитка"/>
    <n v="150"/>
    <m/>
  </r>
  <r>
    <n v="48"/>
    <x v="10"/>
    <x v="326"/>
    <x v="8"/>
    <s v="Мобил.инет"/>
    <n v="350"/>
    <m/>
  </r>
  <r>
    <n v="48"/>
    <x v="10"/>
    <x v="326"/>
    <x v="0"/>
    <s v="Межгород"/>
    <n v="264"/>
    <m/>
  </r>
  <r>
    <n v="48"/>
    <x v="10"/>
    <x v="326"/>
    <x v="2"/>
    <s v="Кредитка"/>
    <n v="100"/>
    <m/>
  </r>
  <r>
    <n v="48"/>
    <x v="10"/>
    <x v="326"/>
    <x v="0"/>
    <s v="Метро"/>
    <n v="22"/>
    <m/>
  </r>
  <r>
    <n v="48"/>
    <x v="10"/>
    <x v="327"/>
    <x v="4"/>
    <s v="Еда"/>
    <n v="723"/>
    <m/>
  </r>
  <r>
    <n v="48"/>
    <x v="10"/>
    <x v="327"/>
    <x v="7"/>
    <s v="Проф.услуги"/>
    <n v="600"/>
    <s v="ателье"/>
  </r>
  <r>
    <n v="48"/>
    <x v="10"/>
    <x v="327"/>
    <x v="2"/>
    <s v="Кредитка"/>
    <n v="150"/>
    <m/>
  </r>
  <r>
    <n v="49"/>
    <x v="10"/>
    <x v="328"/>
    <x v="0"/>
    <s v="Автобус"/>
    <n v="44"/>
    <m/>
  </r>
  <r>
    <n v="49"/>
    <x v="10"/>
    <x v="328"/>
    <x v="3"/>
    <s v="Обед (работа)"/>
    <n v="211"/>
    <m/>
  </r>
  <r>
    <n v="49"/>
    <x v="10"/>
    <x v="328"/>
    <x v="2"/>
    <s v="Кредитка"/>
    <n v="150"/>
    <m/>
  </r>
  <r>
    <n v="49"/>
    <x v="10"/>
    <x v="329"/>
    <x v="0"/>
    <s v="Автобус"/>
    <n v="44"/>
    <m/>
  </r>
  <r>
    <n v="49"/>
    <x v="10"/>
    <x v="329"/>
    <x v="3"/>
    <s v="Обед (работа)"/>
    <n v="233"/>
    <m/>
  </r>
  <r>
    <n v="49"/>
    <x v="10"/>
    <x v="329"/>
    <x v="2"/>
    <s v="Кредитка"/>
    <n v="525"/>
    <m/>
  </r>
  <r>
    <n v="49"/>
    <x v="10"/>
    <x v="329"/>
    <x v="4"/>
    <s v="Еда"/>
    <n v="97"/>
    <m/>
  </r>
  <r>
    <n v="49"/>
    <x v="10"/>
    <x v="330"/>
    <x v="0"/>
    <s v="Автобус"/>
    <n v="22"/>
    <m/>
  </r>
  <r>
    <n v="49"/>
    <x v="10"/>
    <x v="330"/>
    <x v="3"/>
    <s v="Обед (работа)"/>
    <n v="207"/>
    <m/>
  </r>
  <r>
    <n v="49"/>
    <x v="10"/>
    <x v="330"/>
    <x v="2"/>
    <s v="Кредитка"/>
    <n v="1500"/>
    <m/>
  </r>
  <r>
    <n v="49"/>
    <x v="10"/>
    <x v="330"/>
    <x v="4"/>
    <s v="Еда"/>
    <n v="40"/>
    <m/>
  </r>
  <r>
    <n v="49"/>
    <x v="10"/>
    <x v="331"/>
    <x v="4"/>
    <s v="Еда"/>
    <n v="703"/>
    <m/>
  </r>
  <r>
    <n v="49"/>
    <x v="10"/>
    <x v="331"/>
    <x v="5"/>
    <s v="Подписки"/>
    <n v="5"/>
    <s v="SberПрайм"/>
  </r>
  <r>
    <n v="49"/>
    <x v="10"/>
    <x v="331"/>
    <x v="10"/>
    <s v="Книги"/>
    <n v="550"/>
    <m/>
  </r>
  <r>
    <n v="49"/>
    <x v="10"/>
    <x v="331"/>
    <x v="5"/>
    <s v="Прочее"/>
    <n v="100"/>
    <s v="Аромаштучка"/>
  </r>
  <r>
    <n v="49"/>
    <x v="10"/>
    <x v="331"/>
    <x v="2"/>
    <s v="Кредитка"/>
    <n v="4000"/>
    <s v="Долг"/>
  </r>
  <r>
    <n v="49"/>
    <x v="10"/>
    <x v="331"/>
    <x v="8"/>
    <s v="Интернет"/>
    <n v="250"/>
    <m/>
  </r>
  <r>
    <n v="49"/>
    <x v="11"/>
    <x v="332"/>
    <x v="3"/>
    <s v="Перекус"/>
    <n v="109"/>
    <m/>
  </r>
  <r>
    <n v="49"/>
    <x v="11"/>
    <x v="332"/>
    <x v="0"/>
    <s v="Автобус"/>
    <n v="88"/>
    <m/>
  </r>
  <r>
    <n v="49"/>
    <x v="11"/>
    <x v="332"/>
    <x v="7"/>
    <s v="Проф.услуги"/>
    <n v="700"/>
    <s v="Стрижка"/>
  </r>
  <r>
    <n v="49"/>
    <x v="11"/>
    <x v="332"/>
    <x v="2"/>
    <s v="Кредитка"/>
    <n v="510"/>
    <m/>
  </r>
  <r>
    <n v="49"/>
    <x v="11"/>
    <x v="332"/>
    <x v="2"/>
    <s v="Пополнение Инвест.Портфеля"/>
    <n v="1000"/>
    <m/>
  </r>
  <r>
    <n v="49"/>
    <x v="11"/>
    <x v="332"/>
    <x v="2"/>
    <s v="Прочее"/>
    <n v="250"/>
    <s v="На кроссовки"/>
  </r>
  <r>
    <n v="49"/>
    <x v="11"/>
    <x v="332"/>
    <x v="2"/>
    <s v="Здоровье"/>
    <n v="250"/>
    <m/>
  </r>
  <r>
    <n v="49"/>
    <x v="11"/>
    <x v="332"/>
    <x v="4"/>
    <s v="Еда"/>
    <n v="80"/>
    <m/>
  </r>
  <r>
    <n v="49"/>
    <x v="11"/>
    <x v="333"/>
    <x v="7"/>
    <s v="Спорт зал"/>
    <n v="500"/>
    <s v="Бассейн"/>
  </r>
  <r>
    <n v="49"/>
    <x v="11"/>
    <x v="333"/>
    <x v="4"/>
    <s v="Еда"/>
    <n v="528"/>
    <m/>
  </r>
  <r>
    <n v="49"/>
    <x v="11"/>
    <x v="333"/>
    <x v="3"/>
    <s v="Фаст-Фуд"/>
    <n v="270"/>
    <m/>
  </r>
  <r>
    <n v="49"/>
    <x v="11"/>
    <x v="334"/>
    <x v="0"/>
    <s v="Автобус"/>
    <n v="44"/>
    <m/>
  </r>
  <r>
    <n v="49"/>
    <x v="11"/>
    <x v="334"/>
    <x v="3"/>
    <s v="Обед (работа)"/>
    <n v="286"/>
    <m/>
  </r>
  <r>
    <n v="49"/>
    <x v="11"/>
    <x v="334"/>
    <x v="3"/>
    <s v="Перекус"/>
    <n v="50"/>
    <m/>
  </r>
  <r>
    <n v="50"/>
    <x v="11"/>
    <x v="335"/>
    <x v="0"/>
    <s v="Автобус"/>
    <n v="44"/>
    <m/>
  </r>
  <r>
    <n v="50"/>
    <x v="11"/>
    <x v="335"/>
    <x v="3"/>
    <s v="Обед (работа)"/>
    <n v="325"/>
    <m/>
  </r>
  <r>
    <n v="50"/>
    <x v="11"/>
    <x v="335"/>
    <x v="4"/>
    <s v="Еда"/>
    <n v="106"/>
    <s v="Груша/кола"/>
  </r>
  <r>
    <n v="50"/>
    <x v="11"/>
    <x v="335"/>
    <x v="7"/>
    <s v="Аптека"/>
    <n v="190"/>
    <m/>
  </r>
  <r>
    <n v="50"/>
    <x v="11"/>
    <x v="335"/>
    <x v="2"/>
    <s v="Прочее"/>
    <n v="150"/>
    <s v="На кроссовки"/>
  </r>
  <r>
    <n v="50"/>
    <x v="11"/>
    <x v="335"/>
    <x v="2"/>
    <s v="Пополнение Инвест.Портфеля"/>
    <n v="600"/>
    <m/>
  </r>
  <r>
    <n v="50"/>
    <x v="11"/>
    <x v="335"/>
    <x v="2"/>
    <s v="Здоровье"/>
    <n v="200"/>
    <m/>
  </r>
  <r>
    <n v="50"/>
    <x v="11"/>
    <x v="335"/>
    <x v="2"/>
    <s v="Обучение"/>
    <n v="135"/>
    <m/>
  </r>
  <r>
    <n v="50"/>
    <x v="11"/>
    <x v="335"/>
    <x v="2"/>
    <s v="Прочее"/>
    <n v="250"/>
    <m/>
  </r>
  <r>
    <n v="50"/>
    <x v="11"/>
    <x v="336"/>
    <x v="0"/>
    <s v="Автобус"/>
    <n v="54"/>
    <m/>
  </r>
  <r>
    <n v="50"/>
    <x v="11"/>
    <x v="336"/>
    <x v="3"/>
    <s v="Обед (работа)"/>
    <n v="301"/>
    <m/>
  </r>
  <r>
    <n v="50"/>
    <x v="11"/>
    <x v="336"/>
    <x v="4"/>
    <s v="Еда"/>
    <n v="86"/>
    <m/>
  </r>
  <r>
    <n v="50"/>
    <x v="11"/>
    <x v="337"/>
    <x v="6"/>
    <m/>
    <n v="1000"/>
    <s v="проект Лапки"/>
  </r>
  <r>
    <n v="50"/>
    <x v="11"/>
    <x v="337"/>
    <x v="4"/>
    <s v="Еда"/>
    <n v="345"/>
    <m/>
  </r>
  <r>
    <n v="50"/>
    <x v="11"/>
    <x v="338"/>
    <x v="3"/>
    <s v="Сладости"/>
    <n v="349"/>
    <m/>
  </r>
  <r>
    <n v="50"/>
    <x v="11"/>
    <x v="338"/>
    <x v="1"/>
    <s v="Алкоголь"/>
    <n v="270"/>
    <m/>
  </r>
  <r>
    <n v="50"/>
    <x v="11"/>
    <x v="338"/>
    <x v="0"/>
    <s v="Автобус"/>
    <n v="54"/>
    <m/>
  </r>
  <r>
    <n v="50"/>
    <x v="11"/>
    <x v="338"/>
    <x v="7"/>
    <s v="Уход за собой"/>
    <n v="425"/>
    <s v="Порошок/Кондиционер"/>
  </r>
  <r>
    <n v="50"/>
    <x v="11"/>
    <x v="339"/>
    <x v="0"/>
    <s v="Автобус"/>
    <n v="44"/>
    <m/>
  </r>
  <r>
    <n v="50"/>
    <x v="11"/>
    <x v="339"/>
    <x v="3"/>
    <s v="Перекус"/>
    <n v="145"/>
    <s v="кофе/булка"/>
  </r>
  <r>
    <n v="50"/>
    <x v="11"/>
    <x v="339"/>
    <x v="4"/>
    <s v="Еда"/>
    <n v="575"/>
    <m/>
  </r>
  <r>
    <n v="50"/>
    <x v="11"/>
    <x v="340"/>
    <x v="0"/>
    <s v="Автобус"/>
    <n v="44"/>
    <m/>
  </r>
  <r>
    <n v="50"/>
    <x v="11"/>
    <x v="340"/>
    <x v="4"/>
    <s v="Бар"/>
    <n v="60"/>
    <s v="Кола"/>
  </r>
  <r>
    <n v="50"/>
    <x v="11"/>
    <x v="341"/>
    <x v="0"/>
    <s v="Автобус"/>
    <n v="44"/>
    <m/>
  </r>
  <r>
    <n v="50"/>
    <x v="11"/>
    <x v="341"/>
    <x v="3"/>
    <s v="Обед (работа)"/>
    <n v="439"/>
    <m/>
  </r>
  <r>
    <n v="51"/>
    <x v="11"/>
    <x v="342"/>
    <x v="0"/>
    <s v="Автобус"/>
    <n v="44"/>
    <m/>
  </r>
  <r>
    <n v="51"/>
    <x v="11"/>
    <x v="342"/>
    <x v="3"/>
    <s v="Обед (работа)"/>
    <n v="279"/>
    <m/>
  </r>
  <r>
    <n v="51"/>
    <x v="11"/>
    <x v="342"/>
    <x v="4"/>
    <s v="Еда"/>
    <n v="459"/>
    <s v="Еда"/>
  </r>
  <r>
    <n v="51"/>
    <x v="11"/>
    <x v="342"/>
    <x v="4"/>
    <s v="Бар"/>
    <n v="700"/>
    <s v="Чай"/>
  </r>
  <r>
    <n v="51"/>
    <x v="11"/>
    <x v="343"/>
    <x v="3"/>
    <s v="Ресторан"/>
    <n v="625"/>
    <s v="ре-н Кацо"/>
  </r>
  <r>
    <n v="51"/>
    <x v="11"/>
    <x v="343"/>
    <x v="3"/>
    <s v="Перекус"/>
    <n v="233"/>
    <m/>
  </r>
  <r>
    <n v="51"/>
    <x v="11"/>
    <x v="344"/>
    <x v="4"/>
    <s v="Еда"/>
    <n v="1042"/>
    <m/>
  </r>
  <r>
    <n v="51"/>
    <x v="11"/>
    <x v="344"/>
    <x v="3"/>
    <s v="Перекус"/>
    <n v="140"/>
    <s v="кофе/печенье"/>
  </r>
  <r>
    <n v="51"/>
    <x v="11"/>
    <x v="344"/>
    <x v="0"/>
    <s v="Автобус"/>
    <n v="22"/>
    <m/>
  </r>
  <r>
    <n v="51"/>
    <x v="11"/>
    <x v="345"/>
    <x v="4"/>
    <s v="Еда"/>
    <n v="422"/>
    <m/>
  </r>
  <r>
    <n v="51"/>
    <x v="11"/>
    <x v="345"/>
    <x v="3"/>
    <s v="Перекус"/>
    <n v="208"/>
    <m/>
  </r>
  <r>
    <n v="51"/>
    <x v="11"/>
    <x v="346"/>
    <x v="0"/>
    <s v="Автобус"/>
    <n v="44"/>
    <m/>
  </r>
  <r>
    <n v="51"/>
    <x v="11"/>
    <x v="346"/>
    <x v="3"/>
    <s v="Обед (работа)"/>
    <n v="265"/>
    <m/>
  </r>
  <r>
    <n v="51"/>
    <x v="11"/>
    <x v="346"/>
    <x v="4"/>
    <s v="Еда"/>
    <n v="110"/>
    <m/>
  </r>
  <r>
    <n v="51"/>
    <x v="11"/>
    <x v="347"/>
    <x v="0"/>
    <s v="Автобус"/>
    <n v="44"/>
    <m/>
  </r>
  <r>
    <n v="51"/>
    <x v="11"/>
    <x v="347"/>
    <x v="3"/>
    <s v="Обед (работа)"/>
    <n v="227"/>
    <m/>
  </r>
  <r>
    <n v="51"/>
    <x v="11"/>
    <x v="347"/>
    <x v="2"/>
    <s v="Пополнение Инвест.Портфеля"/>
    <n v="600"/>
    <m/>
  </r>
  <r>
    <n v="51"/>
    <x v="11"/>
    <x v="347"/>
    <x v="2"/>
    <s v="Здоровье"/>
    <n v="200"/>
    <m/>
  </r>
  <r>
    <n v="51"/>
    <x v="11"/>
    <x v="347"/>
    <x v="2"/>
    <s v="Прочее"/>
    <n v="100"/>
    <s v="кроссовки"/>
  </r>
  <r>
    <n v="51"/>
    <x v="11"/>
    <x v="347"/>
    <x v="2"/>
    <s v="Обучение"/>
    <n v="100"/>
    <m/>
  </r>
  <r>
    <n v="51"/>
    <x v="11"/>
    <x v="347"/>
    <x v="2"/>
    <s v="365 дней (цель)"/>
    <n v="100"/>
    <m/>
  </r>
  <r>
    <n v="51"/>
    <x v="11"/>
    <x v="348"/>
    <x v="0"/>
    <s v="Автобус"/>
    <n v="44"/>
    <m/>
  </r>
  <r>
    <n v="51"/>
    <x v="11"/>
    <x v="348"/>
    <x v="3"/>
    <s v="Обед (работа)"/>
    <n v="280"/>
    <m/>
  </r>
  <r>
    <n v="51"/>
    <x v="11"/>
    <x v="348"/>
    <x v="4"/>
    <s v="Еда"/>
    <n v="83"/>
    <m/>
  </r>
  <r>
    <n v="51"/>
    <x v="11"/>
    <x v="348"/>
    <x v="7"/>
    <s v="Аптека"/>
    <n v="14"/>
    <m/>
  </r>
  <r>
    <n v="52"/>
    <x v="11"/>
    <x v="349"/>
    <x v="3"/>
    <s v="Кофейня"/>
    <n v="430"/>
    <m/>
  </r>
  <r>
    <n v="52"/>
    <x v="11"/>
    <x v="349"/>
    <x v="4"/>
    <s v="Еда"/>
    <n v="659"/>
    <m/>
  </r>
  <r>
    <n v="52"/>
    <x v="11"/>
    <x v="350"/>
    <x v="3"/>
    <s v="Перекус"/>
    <n v="248"/>
    <m/>
  </r>
  <r>
    <n v="52"/>
    <x v="11"/>
    <x v="350"/>
    <x v="4"/>
    <s v="Еда"/>
    <n v="60"/>
    <s v="Сладкое"/>
  </r>
  <r>
    <n v="52"/>
    <x v="11"/>
    <x v="350"/>
    <x v="7"/>
    <s v="Спорт зал"/>
    <n v="500"/>
    <s v="Бассейн"/>
  </r>
  <r>
    <n v="52"/>
    <x v="11"/>
    <x v="351"/>
    <x v="1"/>
    <s v="Алкоголь"/>
    <n v="570"/>
    <m/>
  </r>
  <r>
    <n v="52"/>
    <x v="11"/>
    <x v="351"/>
    <x v="3"/>
    <s v="Перекус"/>
    <n v="230"/>
    <m/>
  </r>
  <r>
    <n v="52"/>
    <x v="11"/>
    <x v="352"/>
    <x v="3"/>
    <s v="Кофейня"/>
    <n v="200"/>
    <m/>
  </r>
  <r>
    <n v="52"/>
    <x v="11"/>
    <x v="352"/>
    <x v="0"/>
    <s v="Автобус"/>
    <n v="44"/>
    <m/>
  </r>
  <r>
    <n v="52"/>
    <x v="11"/>
    <x v="352"/>
    <x v="3"/>
    <s v="Обед (работа)"/>
    <n v="322"/>
    <m/>
  </r>
  <r>
    <n v="52"/>
    <x v="11"/>
    <x v="352"/>
    <x v="4"/>
    <s v="Еда"/>
    <n v="584"/>
    <m/>
  </r>
  <r>
    <n v="52"/>
    <x v="11"/>
    <x v="352"/>
    <x v="10"/>
    <s v="Книги"/>
    <n v="400"/>
    <m/>
  </r>
  <r>
    <n v="52"/>
    <x v="11"/>
    <x v="353"/>
    <x v="0"/>
    <s v="Автобус"/>
    <n v="54"/>
    <m/>
  </r>
  <r>
    <n v="52"/>
    <x v="11"/>
    <x v="353"/>
    <x v="3"/>
    <s v="Обед (работа)"/>
    <n v="298"/>
    <m/>
  </r>
  <r>
    <n v="52"/>
    <x v="11"/>
    <x v="353"/>
    <x v="4"/>
    <s v="Еда"/>
    <n v="35"/>
    <s v="Круассан"/>
  </r>
  <r>
    <n v="52"/>
    <x v="11"/>
    <x v="353"/>
    <x v="9"/>
    <s v="Друзья"/>
    <n v="500"/>
    <m/>
  </r>
  <r>
    <n v="52"/>
    <x v="11"/>
    <x v="353"/>
    <x v="0"/>
    <s v="Межгород"/>
    <n v="276"/>
    <m/>
  </r>
  <r>
    <n v="52"/>
    <x v="11"/>
    <x v="354"/>
    <x v="0"/>
    <s v="Автобус"/>
    <n v="44"/>
    <m/>
  </r>
  <r>
    <n v="52"/>
    <x v="11"/>
    <x v="354"/>
    <x v="3"/>
    <s v="Обед (работа)"/>
    <n v="328"/>
    <m/>
  </r>
  <r>
    <n v="52"/>
    <x v="11"/>
    <x v="354"/>
    <x v="8"/>
    <s v="Мобил.инет"/>
    <n v="350"/>
    <m/>
  </r>
  <r>
    <n v="52"/>
    <x v="11"/>
    <x v="354"/>
    <x v="10"/>
    <s v="Обучение"/>
    <n v="150"/>
    <m/>
  </r>
  <r>
    <n v="52"/>
    <x v="11"/>
    <x v="355"/>
    <x v="2"/>
    <s v="Прочее"/>
    <n v="2000"/>
    <s v="вернул себе 1000р+1000 сверху"/>
  </r>
  <r>
    <n v="52"/>
    <x v="11"/>
    <x v="355"/>
    <x v="9"/>
    <s v="Друзья"/>
    <n v="799"/>
    <s v="бесп.наушники Султан"/>
  </r>
  <r>
    <n v="52"/>
    <x v="11"/>
    <x v="355"/>
    <x v="3"/>
    <s v="Кофейня"/>
    <n v="153"/>
    <m/>
  </r>
  <r>
    <n v="52"/>
    <x v="11"/>
    <x v="355"/>
    <x v="7"/>
    <s v="Уход за собой"/>
    <n v="199"/>
    <m/>
  </r>
  <r>
    <n v="52"/>
    <x v="11"/>
    <x v="355"/>
    <x v="5"/>
    <s v="Прочее"/>
    <n v="21"/>
    <s v="строй мешок"/>
  </r>
  <r>
    <n v="52"/>
    <x v="11"/>
    <x v="355"/>
    <x v="2"/>
    <s v="Пополнение Инвест.Портфеля"/>
    <n v="1500"/>
    <m/>
  </r>
  <r>
    <n v="52"/>
    <x v="11"/>
    <x v="355"/>
    <x v="2"/>
    <s v="Здоровье"/>
    <n v="600"/>
    <m/>
  </r>
  <r>
    <n v="52"/>
    <x v="11"/>
    <x v="355"/>
    <x v="2"/>
    <s v="Прочее"/>
    <n v="500"/>
    <s v="На кроссовки"/>
  </r>
  <r>
    <n v="52"/>
    <x v="11"/>
    <x v="355"/>
    <x v="2"/>
    <s v="Обучение"/>
    <n v="400"/>
    <m/>
  </r>
  <r>
    <n v="52"/>
    <x v="11"/>
    <x v="355"/>
    <x v="2"/>
    <s v="Прочее"/>
    <n v="1515"/>
    <s v="Долг Яна"/>
  </r>
  <r>
    <n v="52"/>
    <x v="11"/>
    <x v="355"/>
    <x v="9"/>
    <s v="Семья"/>
    <n v="1000"/>
    <s v="Рассрочка на подарок"/>
  </r>
  <r>
    <n v="52"/>
    <x v="11"/>
    <x v="355"/>
    <x v="4"/>
    <s v="Еда"/>
    <n v="775"/>
    <m/>
  </r>
  <r>
    <n v="53"/>
    <x v="11"/>
    <x v="356"/>
    <x v="0"/>
    <s v="Автобус"/>
    <n v="22"/>
    <m/>
  </r>
  <r>
    <n v="53"/>
    <x v="11"/>
    <x v="356"/>
    <x v="3"/>
    <s v="Кофейня"/>
    <n v="145"/>
    <m/>
  </r>
  <r>
    <n v="53"/>
    <x v="11"/>
    <x v="356"/>
    <x v="3"/>
    <s v="Перекус"/>
    <n v="55"/>
    <s v="пачка арахиса"/>
  </r>
  <r>
    <n v="53"/>
    <x v="11"/>
    <x v="356"/>
    <x v="3"/>
    <s v="Перекус"/>
    <n v="330"/>
    <m/>
  </r>
  <r>
    <n v="53"/>
    <x v="11"/>
    <x v="357"/>
    <x v="7"/>
    <s v="Уход за собой"/>
    <n v="700"/>
    <s v="Стрижка"/>
  </r>
  <r>
    <n v="53"/>
    <x v="11"/>
    <x v="357"/>
    <x v="4"/>
    <s v="Еда"/>
    <n v="195"/>
    <m/>
  </r>
  <r>
    <n v="53"/>
    <x v="11"/>
    <x v="357"/>
    <x v="3"/>
    <s v="Кофейня"/>
    <n v="170"/>
    <m/>
  </r>
  <r>
    <n v="53"/>
    <x v="11"/>
    <x v="357"/>
    <x v="3"/>
    <s v="Ресторан"/>
    <n v="671"/>
    <s v="своя компания"/>
  </r>
  <r>
    <n v="53"/>
    <x v="11"/>
    <x v="357"/>
    <x v="0"/>
    <s v="Автобус"/>
    <n v="44"/>
    <m/>
  </r>
  <r>
    <n v="53"/>
    <x v="11"/>
    <x v="357"/>
    <x v="9"/>
    <s v="Друзья"/>
    <n v="1258"/>
    <s v="книга Вике"/>
  </r>
  <r>
    <n v="53"/>
    <x v="11"/>
    <x v="358"/>
    <x v="0"/>
    <s v="Автобус"/>
    <n v="44"/>
    <m/>
  </r>
  <r>
    <n v="53"/>
    <x v="11"/>
    <x v="358"/>
    <x v="3"/>
    <s v="Обед (работа)"/>
    <n v="261"/>
    <m/>
  </r>
  <r>
    <n v="53"/>
    <x v="11"/>
    <x v="358"/>
    <x v="4"/>
    <s v="Еда"/>
    <n v="40"/>
    <s v="Кола"/>
  </r>
  <r>
    <n v="53"/>
    <x v="11"/>
    <x v="359"/>
    <x v="0"/>
    <s v="Автобус"/>
    <n v="54"/>
    <m/>
  </r>
  <r>
    <n v="53"/>
    <x v="11"/>
    <x v="359"/>
    <x v="3"/>
    <s v="Обед (работа)"/>
    <n v="378"/>
    <m/>
  </r>
  <r>
    <n v="53"/>
    <x v="11"/>
    <x v="360"/>
    <x v="0"/>
    <s v="Автобус"/>
    <n v="54"/>
    <m/>
  </r>
  <r>
    <n v="53"/>
    <x v="11"/>
    <x v="360"/>
    <x v="4"/>
    <s v="Еда"/>
    <n v="1274"/>
    <m/>
  </r>
  <r>
    <n v="53"/>
    <x v="11"/>
    <x v="360"/>
    <x v="1"/>
    <s v="Алкоголь"/>
    <n v="400"/>
    <s v="Напитки"/>
  </r>
  <r>
    <n v="53"/>
    <x v="11"/>
    <x v="360"/>
    <x v="0"/>
    <s v="Межгород"/>
    <n v="276"/>
    <m/>
  </r>
  <r>
    <n v="53"/>
    <x v="11"/>
    <x v="361"/>
    <x v="1"/>
    <s v="Кальянная"/>
    <n v="250"/>
    <s v="Табак для кальяна"/>
  </r>
  <r>
    <n v="53"/>
    <x v="11"/>
    <x v="361"/>
    <x v="9"/>
    <s v="Друзья"/>
    <n v="135"/>
    <s v="Конфеты"/>
  </r>
  <r>
    <n v="53"/>
    <x v="11"/>
    <x v="361"/>
    <x v="0"/>
    <s v="Такси"/>
    <n v="187"/>
    <m/>
  </r>
  <r>
    <n v="53"/>
    <x v="11"/>
    <x v="361"/>
    <x v="4"/>
    <s v="Еда"/>
    <n v="493"/>
    <m/>
  </r>
  <r>
    <n v="53"/>
    <x v="11"/>
    <x v="361"/>
    <x v="5"/>
    <s v="Прочее"/>
    <n v="50"/>
    <s v="Шпажки"/>
  </r>
  <r>
    <n v="53"/>
    <x v="11"/>
    <x v="361"/>
    <x v="5"/>
    <s v="Прочее"/>
    <n v="240"/>
    <s v="НГ шапки"/>
  </r>
  <r>
    <n v="53"/>
    <x v="11"/>
    <x v="361"/>
    <x v="5"/>
    <s v="Прочее"/>
    <n v="360"/>
    <s v="Бенгал огни"/>
  </r>
  <r>
    <n v="53"/>
    <x v="11"/>
    <x v="361"/>
    <x v="9"/>
    <s v="Родственники"/>
    <n v="169"/>
    <s v="сладости племяннику"/>
  </r>
  <r>
    <n v="53"/>
    <x v="11"/>
    <x v="361"/>
    <x v="9"/>
    <s v="Семья"/>
    <n v="500"/>
    <s v="Рассрочка на подарок"/>
  </r>
  <r>
    <n v="53"/>
    <x v="11"/>
    <x v="361"/>
    <x v="0"/>
    <s v="Такси"/>
    <n v="437"/>
    <s v="Доставка костюма"/>
  </r>
  <r>
    <n v="53"/>
    <x v="11"/>
    <x v="361"/>
    <x v="2"/>
    <s v="Обучение"/>
    <n v="100"/>
    <m/>
  </r>
  <r>
    <n v="53"/>
    <x v="11"/>
    <x v="361"/>
    <x v="2"/>
    <s v="Здоровье"/>
    <n v="200"/>
    <m/>
  </r>
  <r>
    <n v="53"/>
    <x v="11"/>
    <x v="361"/>
    <x v="2"/>
    <s v="Пополнение Инвест.Портфеля"/>
    <n v="1000"/>
    <m/>
  </r>
  <r>
    <n v="53"/>
    <x v="11"/>
    <x v="361"/>
    <x v="2"/>
    <s v="Прочее"/>
    <n v="200"/>
    <s v="На кроссовки"/>
  </r>
  <r>
    <n v="53"/>
    <x v="11"/>
    <x v="361"/>
    <x v="8"/>
    <s v="Интернет"/>
    <n v="250"/>
    <m/>
  </r>
  <r>
    <n v="53"/>
    <x v="11"/>
    <x v="362"/>
    <x v="7"/>
    <s v="Уход за собой"/>
    <n v="180"/>
    <m/>
  </r>
  <r>
    <n v="53"/>
    <x v="11"/>
    <x v="362"/>
    <x v="1"/>
    <s v="Алкоголь"/>
    <n v="244"/>
    <m/>
  </r>
  <r>
    <n v="53"/>
    <x v="11"/>
    <x v="362"/>
    <x v="4"/>
    <s v="еда"/>
    <n v="692"/>
    <m/>
  </r>
  <r>
    <n v="53"/>
    <x v="11"/>
    <x v="362"/>
    <x v="3"/>
    <s v="Фаст-Фуд"/>
    <n v="3160"/>
    <s v="Пицца на Новый Год"/>
  </r>
  <r>
    <n v="53"/>
    <x v="11"/>
    <x v="362"/>
    <x v="0"/>
    <s v="Такси"/>
    <n v="895"/>
    <m/>
  </r>
  <r>
    <n v="1"/>
    <x v="0"/>
    <x v="363"/>
    <x v="0"/>
    <s v="Такси"/>
    <n v="306"/>
    <m/>
  </r>
  <r>
    <n v="1"/>
    <x v="0"/>
    <x v="363"/>
    <x v="3"/>
    <s v="Ресторан"/>
    <n v="770"/>
    <s v="Роллы"/>
  </r>
  <r>
    <n v="1"/>
    <x v="0"/>
    <x v="363"/>
    <x v="5"/>
    <s v="Прочее"/>
    <n v="492"/>
    <m/>
  </r>
  <r>
    <n v="1"/>
    <x v="0"/>
    <x v="364"/>
    <x v="3"/>
    <s v="Кофейня"/>
    <n v="220"/>
    <m/>
  </r>
  <r>
    <n v="1"/>
    <x v="0"/>
    <x v="365"/>
    <x v="0"/>
    <s v="Автобус"/>
    <n v="32"/>
    <m/>
  </r>
  <r>
    <n v="1"/>
    <x v="0"/>
    <x v="365"/>
    <x v="7"/>
    <s v="Спорт зал"/>
    <n v="750"/>
    <s v="Скалодром"/>
  </r>
  <r>
    <n v="1"/>
    <x v="0"/>
    <x v="365"/>
    <x v="7"/>
    <s v="Уход за собой"/>
    <n v="250"/>
    <s v="Гель"/>
  </r>
  <r>
    <n v="1"/>
    <x v="0"/>
    <x v="365"/>
    <x v="3"/>
    <s v="Перекус"/>
    <n v="37"/>
    <s v="Вода"/>
  </r>
  <r>
    <n v="1"/>
    <x v="0"/>
    <x v="366"/>
    <x v="3"/>
    <s v="Кофейня"/>
    <n v="140"/>
    <m/>
  </r>
  <r>
    <n v="1"/>
    <x v="0"/>
    <x v="366"/>
    <x v="0"/>
    <s v="Такси"/>
    <n v="124"/>
    <m/>
  </r>
  <r>
    <n v="1"/>
    <x v="0"/>
    <x v="366"/>
    <x v="5"/>
    <s v="Прочее"/>
    <n v="48"/>
    <s v="тетрадь"/>
  </r>
  <r>
    <n v="1"/>
    <x v="0"/>
    <x v="366"/>
    <x v="4"/>
    <s v="Еда"/>
    <n v="495"/>
    <m/>
  </r>
  <r>
    <n v="1"/>
    <x v="0"/>
    <x v="366"/>
    <x v="9"/>
    <s v="Друзья"/>
    <n v="250"/>
    <m/>
  </r>
  <r>
    <n v="1"/>
    <x v="0"/>
    <x v="367"/>
    <x v="0"/>
    <s v="Такси"/>
    <n v="301"/>
    <m/>
  </r>
  <r>
    <n v="1"/>
    <x v="0"/>
    <x v="367"/>
    <x v="7"/>
    <s v="Уход за собой"/>
    <n v="396"/>
    <s v="Раствор для линз"/>
  </r>
  <r>
    <n v="1"/>
    <x v="0"/>
    <x v="368"/>
    <x v="0"/>
    <s v="Такси"/>
    <n v="243"/>
    <m/>
  </r>
  <r>
    <n v="1"/>
    <x v="0"/>
    <x v="368"/>
    <x v="3"/>
    <s v="Сладости"/>
    <n v="245"/>
    <m/>
  </r>
  <r>
    <n v="1"/>
    <x v="0"/>
    <x v="368"/>
    <x v="1"/>
    <s v="Алкоголь"/>
    <n v="2325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">
  <r>
    <x v="0"/>
    <x v="0"/>
    <x v="0"/>
    <n v="10713"/>
  </r>
  <r>
    <x v="0"/>
    <x v="0"/>
    <x v="1"/>
    <n v="2200"/>
  </r>
  <r>
    <x v="0"/>
    <x v="1"/>
    <x v="2"/>
    <n v="10677"/>
  </r>
  <r>
    <x v="1"/>
    <x v="2"/>
    <x v="0"/>
    <n v="19503"/>
  </r>
  <r>
    <x v="1"/>
    <x v="3"/>
    <x v="2"/>
    <n v="9326"/>
  </r>
  <r>
    <x v="1"/>
    <x v="4"/>
    <x v="1"/>
    <n v="2000"/>
  </r>
  <r>
    <x v="1"/>
    <x v="5"/>
    <x v="3"/>
    <n v="4080"/>
  </r>
  <r>
    <x v="1"/>
    <x v="6"/>
    <x v="4"/>
    <n v="22000"/>
  </r>
  <r>
    <x v="2"/>
    <x v="7"/>
    <x v="0"/>
    <n v="17029"/>
  </r>
  <r>
    <x v="2"/>
    <x v="8"/>
    <x v="4"/>
    <n v="2000"/>
  </r>
  <r>
    <x v="2"/>
    <x v="9"/>
    <x v="1"/>
    <n v="415"/>
  </r>
  <r>
    <x v="2"/>
    <x v="10"/>
    <x v="2"/>
    <n v="11500"/>
  </r>
  <r>
    <x v="3"/>
    <x v="11"/>
    <x v="0"/>
    <n v="21750"/>
  </r>
  <r>
    <x v="3"/>
    <x v="12"/>
    <x v="2"/>
    <n v="12776"/>
  </r>
  <r>
    <x v="3"/>
    <x v="13"/>
    <x v="4"/>
    <n v="2248"/>
  </r>
  <r>
    <x v="4"/>
    <x v="14"/>
    <x v="0"/>
    <n v="18887"/>
  </r>
  <r>
    <x v="4"/>
    <x v="15"/>
    <x v="2"/>
    <n v="8797"/>
  </r>
  <r>
    <x v="4"/>
    <x v="16"/>
    <x v="1"/>
    <n v="550"/>
  </r>
  <r>
    <x v="4"/>
    <x v="17"/>
    <x v="4"/>
    <n v="8750"/>
  </r>
  <r>
    <x v="5"/>
    <x v="18"/>
    <x v="0"/>
    <n v="18971"/>
  </r>
  <r>
    <x v="5"/>
    <x v="18"/>
    <x v="3"/>
    <n v="2040"/>
  </r>
  <r>
    <x v="5"/>
    <x v="19"/>
    <x v="1"/>
    <n v="2300"/>
  </r>
  <r>
    <x v="5"/>
    <x v="20"/>
    <x v="4"/>
    <n v="1400"/>
  </r>
  <r>
    <x v="5"/>
    <x v="21"/>
    <x v="2"/>
    <n v="11057"/>
  </r>
  <r>
    <x v="6"/>
    <x v="22"/>
    <x v="5"/>
    <n v="64572"/>
  </r>
  <r>
    <x v="6"/>
    <x v="22"/>
    <x v="0"/>
    <n v="31178"/>
  </r>
  <r>
    <x v="6"/>
    <x v="23"/>
    <x v="2"/>
    <n v="12472"/>
  </r>
  <r>
    <x v="6"/>
    <x v="24"/>
    <x v="1"/>
    <n v="1050"/>
  </r>
  <r>
    <x v="7"/>
    <x v="25"/>
    <x v="0"/>
    <n v="12535"/>
  </r>
  <r>
    <x v="7"/>
    <x v="26"/>
    <x v="2"/>
    <n v="12534"/>
  </r>
  <r>
    <x v="7"/>
    <x v="27"/>
    <x v="6"/>
    <n v="26575"/>
  </r>
  <r>
    <x v="8"/>
    <x v="28"/>
    <x v="0"/>
    <n v="12235"/>
  </r>
  <r>
    <x v="8"/>
    <x v="29"/>
    <x v="2"/>
    <n v="13105"/>
  </r>
  <r>
    <x v="8"/>
    <x v="30"/>
    <x v="6"/>
    <n v="24855"/>
  </r>
  <r>
    <x v="9"/>
    <x v="31"/>
    <x v="0"/>
    <n v="13105"/>
  </r>
  <r>
    <x v="9"/>
    <x v="32"/>
    <x v="2"/>
    <n v="24855"/>
  </r>
  <r>
    <x v="9"/>
    <x v="33"/>
    <x v="6"/>
    <n v="12481"/>
  </r>
  <r>
    <x v="9"/>
    <x v="31"/>
    <x v="1"/>
    <n v="500"/>
  </r>
  <r>
    <x v="10"/>
    <x v="34"/>
    <x v="0"/>
    <n v="13728"/>
  </r>
  <r>
    <x v="10"/>
    <x v="35"/>
    <x v="2"/>
    <n v="24855"/>
  </r>
  <r>
    <x v="11"/>
    <x v="36"/>
    <x v="6"/>
    <n v="12401"/>
  </r>
  <r>
    <x v="11"/>
    <x v="37"/>
    <x v="4"/>
    <n v="5000"/>
  </r>
  <r>
    <x v="11"/>
    <x v="38"/>
    <x v="0"/>
    <n v="13497"/>
  </r>
  <r>
    <x v="11"/>
    <x v="39"/>
    <x v="2"/>
    <n v="21978"/>
  </r>
  <r>
    <x v="11"/>
    <x v="40"/>
    <x v="6"/>
    <n v="13114"/>
  </r>
  <r>
    <x v="11"/>
    <x v="41"/>
    <x v="4"/>
    <n v="5000"/>
  </r>
  <r>
    <x v="0"/>
    <x v="42"/>
    <x v="4"/>
    <n v="3332"/>
  </r>
  <r>
    <x v="0"/>
    <x v="43"/>
    <x v="4"/>
    <n v="5300"/>
  </r>
  <r>
    <x v="0"/>
    <x v="44"/>
    <x v="7"/>
    <m/>
  </r>
  <r>
    <x v="0"/>
    <x v="44"/>
    <x v="7"/>
    <m/>
  </r>
  <r>
    <x v="0"/>
    <x v="44"/>
    <x v="7"/>
    <m/>
  </r>
  <r>
    <x v="0"/>
    <x v="44"/>
    <x v="7"/>
    <m/>
  </r>
  <r>
    <x v="0"/>
    <x v="44"/>
    <x v="7"/>
    <m/>
  </r>
  <r>
    <x v="0"/>
    <x v="44"/>
    <x v="7"/>
    <m/>
  </r>
  <r>
    <x v="0"/>
    <x v="44"/>
    <x v="7"/>
    <m/>
  </r>
  <r>
    <x v="0"/>
    <x v="44"/>
    <x v="7"/>
    <m/>
  </r>
  <r>
    <x v="0"/>
    <x v="44"/>
    <x v="7"/>
    <m/>
  </r>
  <r>
    <x v="0"/>
    <x v="44"/>
    <x v="7"/>
    <m/>
  </r>
  <r>
    <x v="0"/>
    <x v="44"/>
    <x v="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Повседневные" cacheId="2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13" rowHeaderCaption="Категории" colHeaderCaption="Месяц">
  <location ref="B7:R21" firstHeaderRow="1" firstDataRow="3" firstDataCol="1"/>
  <pivotFields count="9">
    <pivotField showAll="0"/>
    <pivotField axis="axisCol" showAll="0">
      <items count="27">
        <item m="1" x="22"/>
        <item m="1" x="23"/>
        <item m="1" x="18"/>
        <item m="1" x="13"/>
        <item m="1" x="15"/>
        <item m="1" x="16"/>
        <item m="1" x="14"/>
        <item m="1" x="24"/>
        <item m="1" x="25"/>
        <item m="1" x="20"/>
        <item m="1" x="21"/>
        <item m="1" x="19"/>
        <item m="1" x="12"/>
        <item x="0"/>
        <item x="1"/>
        <item x="2"/>
        <item x="3"/>
        <item x="4"/>
        <item x="5"/>
        <item x="6"/>
        <item x="7"/>
        <item x="8"/>
        <item x="9"/>
        <item x="10"/>
        <item m="1" x="17"/>
        <item x="11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14">
        <item x="6"/>
        <item m="1" x="12"/>
        <item x="3"/>
        <item x="7"/>
        <item x="10"/>
        <item x="1"/>
        <item x="9"/>
        <item x="5"/>
        <item x="4"/>
        <item x="8"/>
        <item x="0"/>
        <item x="2"/>
        <item m="1" x="11"/>
        <item t="default"/>
      </items>
    </pivotField>
    <pivotField showAll="0"/>
    <pivotField dataField="1" showAll="0"/>
    <pivotField showAll="0"/>
    <pivotField showAll="0">
      <items count="7">
        <item sd="0" x="0"/>
        <item sd="0" x="1"/>
        <item sd="0" x="2"/>
        <item sd="0" x="3"/>
        <item sd="0" x="4"/>
        <item x="5"/>
        <item t="default"/>
      </items>
    </pivotField>
    <pivotField axis="axisCol" showAll="0">
      <items count="5">
        <item sd="0" x="0"/>
        <item x="1"/>
        <item x="2"/>
        <item x="3"/>
        <item t="default"/>
      </items>
    </pivotField>
  </pivotFields>
  <rowFields count="1">
    <field x="3"/>
  </rowFields>
  <rowItems count="12">
    <i>
      <x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2">
    <field x="8"/>
    <field x="1"/>
  </colFields>
  <colItems count="16">
    <i>
      <x v="1"/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5"/>
    </i>
    <i t="default">
      <x v="1"/>
    </i>
    <i>
      <x v="2"/>
      <x v="13"/>
    </i>
    <i t="default">
      <x v="2"/>
    </i>
    <i t="grand">
      <x/>
    </i>
  </colItems>
  <dataFields count="1">
    <dataField name="Повседневные расходы" fld="5" baseField="3" baseItem="0" numFmtId="164"/>
  </dataFields>
  <formats count="38">
    <format>
      <pivotArea type="all" dataOnly="0" outline="0" fieldPosition="0"/>
    </format>
    <format>
      <pivotArea outline="0" collapsedLevelsAreSubtotals="1" fieldPosition="0"/>
    </format>
    <format>
      <pivotArea outline="0" collapsedLevelsAreSubtotals="1" fieldPosition="0"/>
    </format>
    <format>
      <pivotArea outline="0" collapsedLevelsAreSubtotals="1" fieldPosition="0"/>
    </format>
    <format>
      <pivotArea field="1" type="button" dataOnly="0" labelOnly="1" outline="0" axis="axisCol" fieldPosition="1"/>
    </format>
    <format>
      <pivotArea dataOnly="0" labelOnly="1" outline="0" fieldPosition="0"/>
    </format>
    <format>
      <pivotArea field="1" type="button" dataOnly="0" labelOnly="1" outline="0" axis="axisCol" fieldPosition="1"/>
    </format>
    <format>
      <pivotArea dataOnly="0" labelOnly="1" outline="0" fieldPosition="0"/>
    </format>
    <format>
      <pivotArea dataOnly="0" grandRow="1" fieldPosition="0"/>
    </format>
    <format>
      <pivotArea outline="0" collapsedLevelsAreSubtotals="1" fieldPosition="0"/>
    </format>
    <format>
      <pivotArea outline="0" collapsedLevelsAreSubtotals="1" fieldPosition="0"/>
    </format>
    <format>
      <pivotArea outline="0" collapsedLevelsAreSubtotals="1" fieldPosition="0"/>
    </format>
    <format>
      <pivotArea grandCol="1" outline="0" collapsedLevelsAreSubtotals="1" fieldPosition="0"/>
    </format>
    <format>
      <pivotArea field="3" grandCol="1" collapsedLevelsAreSubtotals="1" axis="axisRow" fieldPosition="0">
        <references count="1">
          <reference field="3" count="0"/>
        </references>
      </pivotArea>
    </format>
    <format>
      <pivotArea type="origin" dataOnly="0" labelOnly="1" outline="0" fieldPosition="0"/>
    </format>
    <format>
      <pivotArea type="all" dataOnly="0" outline="0" fieldPosition="0"/>
    </format>
    <format>
      <pivotArea type="origin" dataOnly="0" labelOnly="1" outline="0" fieldPosition="0"/>
    </format>
    <format>
      <pivotArea field="1" type="button" dataOnly="0" labelOnly="1" outline="0" axis="axisCol" fieldPosition="1"/>
    </format>
    <format>
      <pivotArea dataOnly="0" labelOnly="1" outline="0" fieldPosition="0"/>
    </format>
    <format>
      <pivotArea field="3" type="button" dataOnly="0" labelOnly="1" outline="0" axis="axisRow" fieldPosition="0"/>
    </format>
    <format>
      <pivotArea field="3" type="button" dataOnly="0" labelOnly="1" outline="0" axis="axisRow" fieldPosition="0"/>
    </format>
    <format>
      <pivotArea grandRow="1" grandCol="1" outline="0" collapsedLevelsAreSubtotals="1" fieldPosition="0"/>
    </format>
    <format>
      <pivotArea field="3" grandCol="1" collapsedLevelsAreSubtotals="1" axis="axisRow" fieldPosition="0">
        <references count="1">
          <reference field="3" count="0"/>
        </references>
      </pivotArea>
    </format>
    <format>
      <pivotArea field="3" grandCol="1" collapsedLevelsAreSubtotals="1" axis="axisRow" fieldPosition="0">
        <references count="1">
          <reference field="3" count="0"/>
        </references>
      </pivotArea>
    </format>
    <format>
      <pivotArea field="1" type="button" dataOnly="0" labelOnly="1" outline="0" axis="axisCol" fieldPosition="1"/>
    </format>
    <format>
      <pivotArea field="1" type="button" dataOnly="0" labelOnly="1" outline="0" axis="axisCol" fieldPosition="1"/>
    </format>
    <format dxfId="0">
      <pivotArea dataOnly="0" labelOnly="1" fieldPosition="0">
        <references count="1">
          <reference field="1" count="0"/>
        </references>
      </pivotArea>
    </format>
    <format dxfId="1">
      <pivotArea dataOnly="0" labelOnly="1" fieldPosition="0">
        <references count="1">
          <reference field="1" count="0"/>
        </references>
      </pivotArea>
    </format>
    <format dxfId="2">
      <pivotArea dataOnly="0" labelOnly="1" grandCol="1" outline="0" fieldPosition="0"/>
    </format>
    <format dxfId="3">
      <pivotArea dataOnly="0" labelOnly="1" grandCol="1" outline="0" fieldPosition="0"/>
    </format>
    <format dxfId="4">
      <pivotArea dataOnly="0" labelOnly="1" fieldPosition="0">
        <references count="1">
          <reference field="8" count="1">
            <x v="1"/>
          </reference>
        </references>
      </pivotArea>
    </format>
    <format dxfId="5">
      <pivotArea dataOnly="0" labelOnly="1" fieldPosition="0">
        <references count="1">
          <reference field="8" count="1">
            <x v="1"/>
          </reference>
        </references>
      </pivotArea>
    </format>
    <format dxfId="6">
      <pivotArea dataOnly="0" labelOnly="1" fieldPosition="0">
        <references count="1">
          <reference field="8" count="1">
            <x v="2"/>
          </reference>
        </references>
      </pivotArea>
    </format>
    <format dxfId="7">
      <pivotArea dataOnly="0" labelOnly="1" fieldPosition="0">
        <references count="1">
          <reference field="8" count="1">
            <x v="2"/>
          </reference>
        </references>
      </pivotArea>
    </format>
    <format dxfId="8">
      <pivotArea dataOnly="0" labelOnly="1" fieldPosition="0">
        <references count="1">
          <reference field="8" count="1" defaultSubtotal="1">
            <x v="1"/>
          </reference>
        </references>
      </pivotArea>
    </format>
    <format dxfId="9">
      <pivotArea dataOnly="0" labelOnly="1" fieldPosition="0">
        <references count="1">
          <reference field="8" count="1" defaultSubtotal="1">
            <x v="1"/>
          </reference>
        </references>
      </pivotArea>
    </format>
    <format dxfId="10">
      <pivotArea dataOnly="0" labelOnly="1" fieldPosition="0">
        <references count="1">
          <reference field="8" count="1" defaultSubtotal="1">
            <x v="2"/>
          </reference>
        </references>
      </pivotArea>
    </format>
    <format dxfId="11">
      <pivotArea dataOnly="0" labelOnly="1" fieldPosition="0">
        <references count="1">
          <reference field="8" count="1" defaultSubtotal="1">
            <x v="2"/>
          </reference>
        </references>
      </pivotArea>
    </format>
  </formats>
  <conditionalFormats count="2">
    <conditionalFormat priority="5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1" count="11" selected="0"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</reference>
            <reference field="3" count="11">
              <x v="0"/>
              <x v="2"/>
              <x v="3"/>
              <x v="4"/>
              <x v="5"/>
              <x v="6"/>
              <x v="7"/>
              <x v="8"/>
              <x v="9"/>
              <x v="10"/>
              <x v="11"/>
            </reference>
          </references>
        </pivotArea>
      </pivotAreas>
    </conditionalFormat>
    <conditionalFormat priority="3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1" count="12" selected="0"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5"/>
            </reference>
            <reference field="3" count="12">
              <x v="0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</reference>
          </references>
        </pivotArea>
      </pivotAreas>
    </conditionalFormat>
  </conditionalFormats>
  <chartFormats count="36">
    <chartFormat chart="2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2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2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4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4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4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4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4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4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4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4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4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4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12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12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12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12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12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7"/>
          </reference>
        </references>
      </pivotArea>
    </chartFormat>
    <chartFormat chart="12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8"/>
          </reference>
        </references>
      </pivotArea>
    </chartFormat>
    <chartFormat chart="12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9"/>
          </reference>
        </references>
      </pivotArea>
    </chartFormat>
    <chartFormat chart="12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0"/>
          </reference>
        </references>
      </pivotArea>
    </chartFormat>
    <chartFormat chart="12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1"/>
          </reference>
        </references>
      </pivotArea>
    </chartFormat>
    <chartFormat chart="12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2"/>
          </reference>
        </references>
      </pivotArea>
    </chartFormat>
    <chartFormat chart="12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3"/>
          </reference>
        </references>
      </pivotArea>
    </chartFormat>
    <chartFormat chart="12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Доходы от" cacheId="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rowHeaderCaption="От" colHeaderCaption="Месяц">
  <location ref="B37:Q47" firstHeaderRow="1" firstDataRow="3" firstDataCol="1"/>
  <pivotFields count="6">
    <pivotField axis="axisCol" showAll="0">
      <items count="24">
        <item m="1" x="19"/>
        <item m="1" x="20"/>
        <item m="1" x="16"/>
        <item m="1" x="12"/>
        <item m="1" x="14"/>
        <item m="1" x="15"/>
        <item m="1" x="13"/>
        <item m="1" x="21"/>
        <item m="1" x="22"/>
        <item m="1" x="17"/>
        <item m="1" x="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9">
        <item x="0"/>
        <item x="2"/>
        <item x="6"/>
        <item x="5"/>
        <item x="4"/>
        <item x="3"/>
        <item x="1"/>
        <item x="7"/>
        <item t="default"/>
      </items>
    </pivotField>
    <pivotField dataField="1" showAll="0"/>
    <pivotField showAll="0">
      <items count="7">
        <item sd="0" x="0"/>
        <item sd="0" x="1"/>
        <item sd="0" x="2"/>
        <item sd="0" x="3"/>
        <item sd="0" x="4"/>
        <item x="5"/>
        <item t="default"/>
      </items>
    </pivotField>
    <pivotField axis="axisCol" showAll="0">
      <items count="5">
        <item h="1" sd="0" x="0"/>
        <item x="1"/>
        <item sd="0" x="2"/>
        <item h="1" x="3"/>
        <item t="default"/>
      </items>
    </pivotField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2">
    <field x="5"/>
    <field x="0"/>
  </colFields>
  <colItems count="15">
    <i>
      <x v="1"/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t="default">
      <x v="1"/>
    </i>
    <i>
      <x v="2"/>
    </i>
    <i t="grand">
      <x/>
    </i>
  </colItems>
  <dataFields count="1">
    <dataField name="Доходы от" fld="3" baseField="0" baseItem="11" numFmtId="164"/>
  </dataFields>
  <formats count="61">
    <format>
      <pivotArea outline="0" collapsedLevelsAreSubtotals="1" fieldPosition="0"/>
    </format>
    <format>
      <pivotArea outline="0" collapsedLevelsAreSubtotals="1" fieldPosition="0"/>
    </format>
    <format>
      <pivotArea type="all" dataOnly="0" outline="0" fieldPosition="0"/>
    </format>
    <format>
      <pivotArea outline="0" collapsedLevelsAreSubtotals="1" fieldPosition="0"/>
    </format>
    <format>
      <pivotArea outline="0" collapsedLevelsAreSubtotals="1" fieldPosition="0"/>
    </format>
    <format>
      <pivotArea outline="0" collapsedLevelsAreSubtotals="1" fieldPosition="0"/>
    </format>
    <format>
      <pivotArea outline="0" collapsedLevelsAreSubtotals="1" fieldPosition="0"/>
    </format>
    <format>
      <pivotArea outline="0" collapsedLevelsAreSubtotals="1" fieldPosition="0"/>
    </format>
    <format>
      <pivotArea type="origin" dataOnly="0" labelOnly="1" outline="0" fieldPosition="0"/>
    </format>
    <format>
      <pivotArea type="all" dataOnly="0" outline="0" fieldPosition="0"/>
    </format>
    <format>
      <pivotArea outline="0" collapsedLevelsAreSubtotals="1" fieldPosition="0"/>
    </format>
    <format>
      <pivotArea type="origin" dataOnly="0" labelOnly="1" outline="0" fieldPosition="0"/>
    </format>
    <format>
      <pivotArea dataOnly="0" labelOnly="1" outline="0" axis="axisValues" fieldPosition="0"/>
    </format>
    <format>
      <pivotArea field="0" type="button" dataOnly="0" labelOnly="1" outline="0" axis="axisCol" fieldPosition="1"/>
    </format>
    <format>
      <pivotArea dataOnly="0" labelOnly="1" outline="0" fieldPosition="0"/>
    </format>
    <format>
      <pivotArea type="all" dataOnly="0" outline="0" fieldPosition="0"/>
    </format>
    <format>
      <pivotArea outline="0" collapsedLevelsAreSubtotals="1" fieldPosition="0"/>
    </format>
    <format>
      <pivotArea type="origin" dataOnly="0" labelOnly="1" outline="0" fieldPosition="0"/>
    </format>
    <format>
      <pivotArea dataOnly="0" labelOnly="1" outline="0" axis="axisValues" fieldPosition="0"/>
    </format>
    <format>
      <pivotArea field="0" type="button" dataOnly="0" labelOnly="1" outline="0" axis="axisCol" fieldPosition="1"/>
    </format>
    <format>
      <pivotArea dataOnly="0" labelOnly="1" outline="0" fieldPosition="0"/>
    </format>
    <format>
      <pivotArea type="all" dataOnly="0" outline="0" fieldPosition="0"/>
    </format>
    <format>
      <pivotArea type="all" dataOnly="0" outline="0" fieldPosition="0"/>
    </format>
    <format>
      <pivotArea dataOnly="0" labelOnly="1" outline="0" fieldPosition="0"/>
    </format>
    <format>
      <pivotArea type="all" dataOnly="0" outline="0" fieldPosition="0"/>
    </format>
    <format>
      <pivotArea outline="0" collapsedLevelsAreSubtotals="1" fieldPosition="0"/>
    </format>
    <format>
      <pivotArea type="origin" dataOnly="0" labelOnly="1" outline="0" offset="A1" fieldPosition="0"/>
    </format>
    <format>
      <pivotArea dataOnly="0" labelOnly="1" outline="0" axis="axisValues" fieldPosition="0"/>
    </format>
    <format>
      <pivotArea field="0" type="button" dataOnly="0" labelOnly="1" outline="0" axis="axisCol" fieldPosition="1"/>
    </format>
    <format>
      <pivotArea dataOnly="0" labelOnly="1" outline="0" fieldPosition="0"/>
    </format>
    <format>
      <pivotArea type="origin" dataOnly="0" labelOnly="1" outline="0" offset="A2" fieldPosition="0"/>
    </format>
    <format>
      <pivotArea type="all" dataOnly="0" outline="0" fieldPosition="0"/>
    </format>
    <format>
      <pivotArea outline="0" collapsedLevelsAreSubtotals="1" fieldPosition="0"/>
    </format>
    <format>
      <pivotArea type="origin" dataOnly="0" labelOnly="1" outline="0" offset="A1" fieldPosition="0"/>
    </format>
    <format>
      <pivotArea dataOnly="0" labelOnly="1" outline="0" axis="axisValues" fieldPosition="0"/>
    </format>
    <format>
      <pivotArea field="0" type="button" dataOnly="0" labelOnly="1" outline="0" axis="axisCol" fieldPosition="1"/>
    </format>
    <format>
      <pivotArea dataOnly="0" labelOnly="1" outline="0" fieldPosition="0"/>
    </format>
    <format>
      <pivotArea type="origin" dataOnly="0" labelOnly="1" outline="0" offset="A2" fieldPosition="0"/>
    </format>
    <format>
      <pivotArea field="0" type="button" dataOnly="0" labelOnly="1" outline="0" axis="axisCol" fieldPosition="1"/>
    </format>
    <format>
      <pivotArea dataOnly="0" labelOnly="1" outline="0" fieldPosition="0"/>
    </format>
    <format>
      <pivotArea type="origin" dataOnly="0" labelOnly="1" outline="0" offset="A2" fieldPosition="0"/>
    </format>
    <format>
      <pivotArea type="all" dataOnly="0" outline="0" fieldPosition="0"/>
    </format>
    <format>
      <pivotArea outline="0" collapsedLevelsAreSubtotals="1" fieldPosition="0"/>
    </format>
    <format>
      <pivotArea type="origin" dataOnly="0" labelOnly="1" outline="0" offset="A1" fieldPosition="0"/>
    </format>
    <format>
      <pivotArea dataOnly="0" labelOnly="1" outline="0" axis="axisValues" fieldPosition="0"/>
    </format>
    <format>
      <pivotArea field="0" type="button" dataOnly="0" labelOnly="1" outline="0" axis="axisCol" fieldPosition="1"/>
    </format>
    <format>
      <pivotArea dataOnly="0" labelOnly="1" outline="0" fieldPosition="0"/>
    </format>
    <format>
      <pivotArea type="origin" dataOnly="0" labelOnly="1" outline="0" offset="A2" fieldPosition="0"/>
    </format>
    <format>
      <pivotArea outline="0" collapsedLevelsAreSubtotals="1" fieldPosition="0"/>
    </format>
    <format>
      <pivotArea dataOnly="0" labelOnly="1" outline="0" axis="axisValues" fieldPosition="0"/>
    </format>
    <format>
      <pivotArea type="origin" dataOnly="0" labelOnly="1" outline="0" offset="A1" fieldPosition="0"/>
    </format>
    <format>
      <pivotArea field="0" type="button" dataOnly="0" labelOnly="1" outline="0" axis="axisCol" fieldPosition="1"/>
    </format>
    <format>
      <pivotArea dataOnly="0" labelOnly="1" outline="0" offset="A1:J1" fieldPosition="0"/>
    </format>
    <format>
      <pivotArea type="origin" dataOnly="0" labelOnly="1" outline="0" offset="A2" fieldPosition="0"/>
    </format>
    <format>
      <pivotArea dataOnly="0" labelOnly="1" outline="0" offset="K1" fieldPosition="0"/>
    </format>
    <format>
      <pivotArea type="origin" dataOnly="0" labelOnly="1" outline="0" fieldPosition="0"/>
    </format>
    <format>
      <pivotArea dataOnly="0" labelOnly="1" outline="0" axis="axisValues" fieldPosition="0"/>
    </format>
    <format dxfId="87">
      <pivotArea dataOnly="0" labelOnly="1" fieldPosition="0">
        <references count="1">
          <reference field="0" count="0"/>
        </references>
      </pivotArea>
    </format>
    <format dxfId="86">
      <pivotArea dataOnly="0" labelOnly="1" fieldPosition="0">
        <references count="1">
          <reference field="0" count="0"/>
        </references>
      </pivotArea>
    </format>
    <format dxfId="85">
      <pivotArea dataOnly="0" labelOnly="1" grandCol="1" outline="0" fieldPosition="0"/>
    </format>
    <format dxfId="84">
      <pivotArea outline="0" collapsedLevelsAreSubtotals="1" fieldPosition="0">
        <references count="1">
          <reference field="5" count="1" selected="0" defaultSubtotal="1">
            <x v="1"/>
          </reference>
        </references>
      </pivotArea>
    </format>
  </formats>
  <conditionalFormats count="1">
    <conditionalFormat priority="2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12" selected="0"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</reference>
            <reference field="2" count="8">
              <x v="0"/>
              <x v="1"/>
              <x v="2"/>
              <x v="3"/>
              <x v="4"/>
              <x v="5"/>
              <x v="6"/>
              <x v="7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refreshOnLoad="1" connectionId="2" xr16:uid="{00000000-0016-0000-0300-000000000000}" autoFormatId="0" applyNumberFormats="0" applyBorderFormats="0" applyFontFormats="1" applyPatternFormats="0" applyAlignmentFormats="0" applyWidthHeightFormats="0">
  <queryTableRefresh nextId="3">
    <queryTableFields count="2">
      <queryTableField id="1" name="Валюта" tableColumnId="1"/>
      <queryTableField id="2" name="Курс" tableColumnId="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refreshOnLoad="1" connectionId="1" xr16:uid="{00000000-0016-0000-0700-000001000000}" autoFormatId="0" applyNumberFormats="0" applyBorderFormats="0" applyFontFormats="1" applyPatternFormats="0" applyAlignmentFormats="0" applyWidthHeightFormats="0">
  <queryTableRefresh nextId="3">
    <queryTableFields count="2">
      <queryTableField id="1" name="Валюта" tableColumnId="1"/>
      <queryTableField id="2" name="Курс" tableColumnId="2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8" displayName="Таблица8" ref="B1:H1433">
  <autoFilter ref="B1:H1433" xr:uid="{00000000-0009-0000-0100-000001000000}"/>
  <tableColumns count="7">
    <tableColumn id="1" xr3:uid="{00000000-0010-0000-0000-000001000000}" name="Неделя" dataDxfId="79"/>
    <tableColumn id="2" xr3:uid="{00000000-0010-0000-0000-000002000000}" name="Месяц" dataDxfId="78"/>
    <tableColumn id="3" xr3:uid="{00000000-0010-0000-0000-000003000000}" name="Дата" dataDxfId="77"/>
    <tableColumn id="4" xr3:uid="{00000000-0010-0000-0000-000004000000}" name="Категории" dataDxfId="76"/>
    <tableColumn id="5" xr3:uid="{00000000-0010-0000-0000-000005000000}" name="Подкатегории" dataDxfId="75"/>
    <tableColumn id="6" xr3:uid="{00000000-0010-0000-0000-000006000000}" name="Сумма " dataDxfId="74"/>
    <tableColumn id="7" xr3:uid="{00000000-0010-0000-0000-000007000000}" name="Комментарий" dataDxfId="73"/>
  </tableColumns>
  <tableStyleInfo showFirstColumn="0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16" displayName="Table_16" ref="S1458:T1460" tableType="queryTable" headerRowDxfId="72" headerRowBorderDxfId="71">
  <tableColumns count="2">
    <tableColumn id="1" xr3:uid="{00000000-0010-0000-0100-000001000000}" uniqueName="1" name="Валюта" queryTableFieldId="1" dataDxfId="70"/>
    <tableColumn id="2" xr3:uid="{00000000-0010-0000-0100-000002000000}" uniqueName="2" name="Курс" queryTableFieldId="2" dataDxfId="69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Таблица9" displayName="Таблица9" ref="B1:E60" headerRowDxfId="68" totalsRowDxfId="65" headerRowBorderDxfId="67" tableBorderDxfId="66">
  <autoFilter ref="B1:E60" xr:uid="{00000000-0009-0000-0100-000003000000}"/>
  <tableColumns count="4">
    <tableColumn id="1" xr3:uid="{00000000-0010-0000-0200-000001000000}" name="Месяц" dataDxfId="64"/>
    <tableColumn id="2" xr3:uid="{00000000-0010-0000-0200-000002000000}" name="Дата" dataDxfId="63"/>
    <tableColumn id="3" xr3:uid="{00000000-0010-0000-0200-000003000000}" name="Доход от" dataDxfId="62"/>
    <tableColumn id="4" xr3:uid="{00000000-0010-0000-0200-000004000000}" name="Сумма" dataDxfId="61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ЖКУ" displayName="ЖКУ" ref="B1:F53" headerRowDxfId="60" totalsRowDxfId="57" headerRowBorderDxfId="59" tableBorderDxfId="58">
  <autoFilter ref="B1:F53" xr:uid="{00000000-0009-0000-0100-000004000000}"/>
  <tableColumns count="5">
    <tableColumn id="1" xr3:uid="{00000000-0010-0000-0300-000001000000}" name="Месяц" dataDxfId="12">
      <calculatedColumnFormula>TEXT(ЖКУ[[#This Row],[Дата]], "М-Г")</calculatedColumnFormula>
    </tableColumn>
    <tableColumn id="2" xr3:uid="{00000000-0010-0000-0300-000002000000}" name="Дата" dataDxfId="56"/>
    <tableColumn id="3" xr3:uid="{00000000-0010-0000-0300-000003000000}" name="Категория" dataDxfId="55"/>
    <tableColumn id="4" xr3:uid="{00000000-0010-0000-0300-000004000000}" name="Описание " dataDxfId="54"/>
    <tableColumn id="5" xr3:uid="{00000000-0010-0000-0300-000005000000}" name="Сумма" dataDxfId="53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Таблица11" displayName="Таблица11" ref="B1:E23">
  <autoFilter ref="B1:E23" xr:uid="{00000000-0009-0000-0100-000005000000}"/>
  <tableColumns count="4">
    <tableColumn id="1" xr3:uid="{00000000-0010-0000-0400-000001000000}" name="Месяц" dataDxfId="52"/>
    <tableColumn id="2" xr3:uid="{00000000-0010-0000-0400-000002000000}" name="Дата" dataDxfId="51"/>
    <tableColumn id="3" xr3:uid="{00000000-0010-0000-0400-000003000000}" name="Покупка" dataDxfId="50"/>
    <tableColumn id="4" xr3:uid="{00000000-0010-0000-0400-000004000000}" name="Сумма" dataDxfId="49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Таблица1" displayName="Таблица1" ref="H1:K23" headerRowDxfId="48" totalsRowDxfId="45" headerRowBorderDxfId="47" tableBorderDxfId="46">
  <autoFilter ref="H1:K23" xr:uid="{00000000-0009-0000-0100-000006000000}"/>
  <tableColumns count="4">
    <tableColumn id="1" xr3:uid="{00000000-0010-0000-0500-000001000000}" name="Месяц" dataDxfId="44"/>
    <tableColumn id="2" xr3:uid="{00000000-0010-0000-0500-000002000000}" name="Дата" dataDxfId="43"/>
    <tableColumn id="3" xr3:uid="{00000000-0010-0000-0500-000003000000}" name="Цель" dataDxfId="42"/>
    <tableColumn id="4" xr3:uid="{00000000-0010-0000-0500-000004000000}" name="Сумма" dataDxfId="41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1" displayName="Table_1" ref="I2:J4" tableType="queryTable" headerRowDxfId="40" totalsRowDxfId="37" headerRowBorderDxfId="39" tableBorderDxfId="38">
  <autoFilter ref="I2:J4" xr:uid="{00000000-0009-0000-0100-000007000000}"/>
  <tableColumns count="2">
    <tableColumn id="1" xr3:uid="{00000000-0010-0000-0600-000001000000}" uniqueName="1" name="Валюта" queryTableFieldId="1" dataDxfId="36"/>
    <tableColumn id="2" xr3:uid="{00000000-0010-0000-0600-000002000000}" uniqueName="2" name="Курс" queryTableFieldId="2" dataDxfId="35"/>
  </tableColumns>
  <tableStyleInfo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Данные" displayName="Данные" ref="C1:M14">
  <autoFilter ref="C1:M14" xr:uid="{00000000-0009-0000-0100-000008000000}"/>
  <tableColumns count="11">
    <tableColumn id="1" xr3:uid="{00000000-0010-0000-0700-000001000000}" name="Транспорт" dataDxfId="34"/>
    <tableColumn id="2" xr3:uid="{00000000-0010-0000-0700-000002000000}" name="Еда вне дома" dataDxfId="33"/>
    <tableColumn id="3" xr3:uid="{00000000-0010-0000-0700-000003000000}" name="Подарки" dataDxfId="32"/>
    <tableColumn id="4" xr3:uid="{00000000-0010-0000-0700-000004000000}" name="Продукты" dataDxfId="31"/>
    <tableColumn id="5" xr3:uid="{00000000-0010-0000-0700-000005000000}" name="Здоровье, красота, гигиена" dataDxfId="30"/>
    <tableColumn id="6" xr3:uid="{00000000-0010-0000-0700-000006000000}" name="Образование" dataDxfId="29"/>
    <tableColumn id="7" xr3:uid="{00000000-0010-0000-0700-000007000000}" name="Отдых" dataDxfId="28"/>
    <tableColumn id="8" xr3:uid="{00000000-0010-0000-0700-000008000000}" name="Связь" dataDxfId="27"/>
    <tableColumn id="9" xr3:uid="{00000000-0010-0000-0700-000009000000}" name="Покупки" dataDxfId="26"/>
    <tableColumn id="10" xr3:uid="{00000000-0010-0000-0700-00000A000000}" name="Цели" dataDxfId="25"/>
    <tableColumn id="11" xr3:uid="{00000000-0010-0000-0700-00000B000000}" name="Благотворительность" dataDxfId="24"/>
  </tableColumns>
  <tableStyleInfo showFirstColumn="1" showLastColumn="1" showRowStripes="1" showColumnStripes="1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Доходы_от" displayName="Доходы_от" ref="C18:C27" headerRowDxfId="23" totalsRowDxfId="20" headerRowBorderDxfId="22" tableBorderDxfId="21">
  <autoFilter ref="C18:C27" xr:uid="{00000000-0009-0000-0100-000009000000}"/>
  <tableColumns count="1">
    <tableColumn id="1" xr3:uid="{00000000-0010-0000-0800-000001000000}" name="Доходы от:" dataDxfId="19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Квартира" displayName="Квартира" ref="D18:D23">
  <autoFilter ref="D18:D23" xr:uid="{00000000-0009-0000-0100-00000A000000}"/>
  <tableColumns count="1">
    <tableColumn id="1" xr3:uid="{00000000-0010-0000-0900-000001000000}" name="Квартира" dataDxfId="18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Цели" displayName="Цели" ref="E18:E27" headerRowDxfId="17" totalsRowDxfId="14" headerRowBorderDxfId="16" tableBorderDxfId="15">
  <autoFilter ref="E18:E27" xr:uid="{00000000-0009-0000-0100-00000B000000}"/>
  <tableColumns count="1">
    <tableColumn id="1" xr3:uid="{00000000-0010-0000-0A00-000001000000}" name="Цели" dataDxfId="1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54" personId="{7936AC84-1F33-44B6-55CB-227434DC3A2A}" id="{00670073-0083-4FD0-B5A3-000000E1008F}">
    <text xml:space="preserve">Стараться каждый день отклыдвать сумму равную текущему дню в календаре ( 1 день - 1 руб. 15 день - 15 руб). С возможным открытием 2 таких счетов, с промежутком в полгода. Для чего? Для крупных покупок, для отдыха, для возможности позволять себе большего, для инвестиций, для непредвиденных трат, на лечение. Так же для усложнения увеличивать  сумму n*2 (где n - день по календарю) 1 день - 2 руб, 15 день - 30 рублей, и т.д.
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table" Target="../tables/table8.xml"/><Relationship Id="rId4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tabColor rgb="FF92D050"/>
  </sheetPr>
  <dimension ref="A1:AT93"/>
  <sheetViews>
    <sheetView showGridLines="0" topLeftCell="F1" zoomScale="70" workbookViewId="0">
      <pane ySplit="1" topLeftCell="A2" activePane="bottomLeft" state="frozen"/>
      <selection activeCell="H5" sqref="H5"/>
      <selection pane="bottomLeft" activeCell="F1" sqref="F1"/>
    </sheetView>
  </sheetViews>
  <sheetFormatPr defaultColWidth="20.7109375" defaultRowHeight="16.5" outlineLevelRow="1" x14ac:dyDescent="0.25"/>
  <cols>
    <col min="1" max="1" width="4.42578125" style="1" customWidth="1"/>
    <col min="2" max="2" width="19.7109375" style="1" bestFit="1" customWidth="1"/>
    <col min="3" max="3" width="36.42578125" style="1" bestFit="1" customWidth="1"/>
    <col min="4" max="4" width="11.42578125" style="2" customWidth="1"/>
    <col min="5" max="5" width="13.140625" style="2" customWidth="1"/>
    <col min="6" max="6" width="13" style="2" customWidth="1"/>
    <col min="7" max="7" width="14.5703125" style="2" customWidth="1"/>
    <col min="8" max="8" width="11.28515625" style="2" customWidth="1"/>
    <col min="9" max="9" width="13.140625" style="2" customWidth="1"/>
    <col min="10" max="10" width="13" style="2" customWidth="1"/>
    <col min="11" max="11" width="13.140625" style="2" customWidth="1"/>
    <col min="12" max="12" width="9.5703125" style="2" customWidth="1"/>
    <col min="13" max="13" width="10.5703125" style="2" customWidth="1"/>
    <col min="14" max="14" width="9.5703125" style="2" customWidth="1"/>
    <col min="15" max="15" width="10.5703125" style="2" customWidth="1"/>
    <col min="16" max="16" width="12.85546875" style="2" customWidth="1"/>
    <col min="17" max="17" width="10.5703125" style="2" customWidth="1"/>
    <col min="18" max="18" width="12" style="2" customWidth="1"/>
    <col min="19" max="19" width="10.5703125" style="2" bestFit="1" customWidth="1"/>
    <col min="20" max="21" width="15.140625" style="2" customWidth="1"/>
    <col min="22" max="23" width="14.28515625" style="2" customWidth="1"/>
    <col min="24" max="25" width="13.140625" style="2" customWidth="1"/>
    <col min="26" max="27" width="14.42578125" style="2" customWidth="1"/>
    <col min="28" max="28" width="20.7109375" style="1" customWidth="1"/>
    <col min="29" max="29" width="21" style="3" customWidth="1"/>
    <col min="30" max="16384" width="20.7109375" style="1"/>
  </cols>
  <sheetData>
    <row r="1" spans="1:46" s="4" customFormat="1" ht="30.75" customHeight="1" x14ac:dyDescent="0.25">
      <c r="D1" s="5" t="s">
        <v>0</v>
      </c>
      <c r="E1" s="6"/>
      <c r="F1" s="5" t="s">
        <v>1</v>
      </c>
      <c r="G1" s="7"/>
      <c r="H1" s="5" t="s">
        <v>2</v>
      </c>
      <c r="I1" s="7"/>
      <c r="J1" s="5" t="s">
        <v>3</v>
      </c>
      <c r="K1" s="7"/>
      <c r="L1" s="5" t="s">
        <v>4</v>
      </c>
      <c r="M1" s="7"/>
      <c r="N1" s="5" t="s">
        <v>5</v>
      </c>
      <c r="O1" s="7"/>
      <c r="P1" s="5" t="s">
        <v>6</v>
      </c>
      <c r="Q1" s="7"/>
      <c r="R1" s="5" t="s">
        <v>7</v>
      </c>
      <c r="S1" s="7"/>
      <c r="T1" s="5" t="s">
        <v>8</v>
      </c>
      <c r="U1" s="7"/>
      <c r="V1" s="5" t="s">
        <v>9</v>
      </c>
      <c r="W1" s="7"/>
      <c r="X1" s="5" t="s">
        <v>10</v>
      </c>
      <c r="Y1" s="7"/>
      <c r="Z1" s="5" t="s">
        <v>11</v>
      </c>
      <c r="AA1" s="7"/>
      <c r="AC1" s="3"/>
    </row>
    <row r="2" spans="1:46" ht="27.75" x14ac:dyDescent="0.25">
      <c r="A2" s="8"/>
      <c r="B2" s="9" t="s">
        <v>12</v>
      </c>
      <c r="C2" s="9"/>
      <c r="D2" s="10" t="s">
        <v>13</v>
      </c>
      <c r="E2" s="10" t="s">
        <v>14</v>
      </c>
      <c r="F2" s="10" t="s">
        <v>13</v>
      </c>
      <c r="G2" s="10" t="s">
        <v>14</v>
      </c>
      <c r="H2" s="10" t="s">
        <v>13</v>
      </c>
      <c r="I2" s="10" t="s">
        <v>14</v>
      </c>
      <c r="J2" s="10" t="s">
        <v>13</v>
      </c>
      <c r="K2" s="10" t="s">
        <v>14</v>
      </c>
      <c r="L2" s="10" t="s">
        <v>13</v>
      </c>
      <c r="M2" s="10" t="s">
        <v>14</v>
      </c>
      <c r="N2" s="10" t="s">
        <v>13</v>
      </c>
      <c r="O2" s="10" t="s">
        <v>14</v>
      </c>
      <c r="P2" s="10" t="s">
        <v>13</v>
      </c>
      <c r="Q2" s="10" t="s">
        <v>14</v>
      </c>
      <c r="R2" s="10" t="s">
        <v>13</v>
      </c>
      <c r="S2" s="10" t="s">
        <v>14</v>
      </c>
      <c r="T2" s="10" t="s">
        <v>13</v>
      </c>
      <c r="U2" s="10" t="s">
        <v>14</v>
      </c>
      <c r="V2" s="10" t="s">
        <v>13</v>
      </c>
      <c r="W2" s="10" t="s">
        <v>14</v>
      </c>
      <c r="X2" s="10" t="s">
        <v>13</v>
      </c>
      <c r="Y2" s="10" t="s">
        <v>14</v>
      </c>
      <c r="Z2" s="10" t="s">
        <v>13</v>
      </c>
      <c r="AA2" s="10" t="s">
        <v>14</v>
      </c>
      <c r="AB2" s="11" t="s">
        <v>15</v>
      </c>
      <c r="AC2" s="12" t="s">
        <v>16</v>
      </c>
      <c r="AD2" s="13" t="s">
        <v>17</v>
      </c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8"/>
      <c r="AS2" s="8"/>
      <c r="AT2" s="8"/>
    </row>
    <row r="3" spans="1:46" ht="16.5" customHeight="1" outlineLevel="1" x14ac:dyDescent="0.25">
      <c r="A3" s="8"/>
      <c r="B3" s="581" t="s">
        <v>18</v>
      </c>
      <c r="C3" s="15" t="s">
        <v>19</v>
      </c>
      <c r="D3" s="16">
        <v>4875</v>
      </c>
      <c r="E3" s="17">
        <v>15000</v>
      </c>
      <c r="F3" s="16">
        <v>5419</v>
      </c>
      <c r="G3" s="17">
        <v>15000</v>
      </c>
      <c r="H3" s="16">
        <v>4770</v>
      </c>
      <c r="I3" s="17">
        <v>15000</v>
      </c>
      <c r="J3" s="16">
        <v>6645</v>
      </c>
      <c r="K3" s="17">
        <v>15000</v>
      </c>
      <c r="L3" s="16">
        <v>4886</v>
      </c>
      <c r="M3" s="17">
        <v>15000</v>
      </c>
      <c r="N3" s="16">
        <v>4882</v>
      </c>
      <c r="O3" s="17">
        <v>15000</v>
      </c>
      <c r="P3" s="16">
        <f>6280+229</f>
        <v>6509</v>
      </c>
      <c r="Q3" s="17">
        <v>15000</v>
      </c>
      <c r="R3" s="16">
        <v>7035</v>
      </c>
      <c r="S3" s="17">
        <v>15000</v>
      </c>
      <c r="T3" s="16">
        <v>5255</v>
      </c>
      <c r="U3" s="17">
        <v>15000</v>
      </c>
      <c r="V3" s="16">
        <v>8761</v>
      </c>
      <c r="W3" s="17">
        <v>15000</v>
      </c>
      <c r="X3" s="16">
        <v>0</v>
      </c>
      <c r="Y3" s="17">
        <v>15000</v>
      </c>
      <c r="Z3" s="16">
        <v>0</v>
      </c>
      <c r="AA3" s="17">
        <v>15000</v>
      </c>
      <c r="AB3" s="18">
        <f t="shared" ref="AB3:AB21" si="0">SUM(D3,F3,H3,J3,L3,N3,P3,R3,T3,V3,X3,Z3)</f>
        <v>59037</v>
      </c>
      <c r="AC3" s="19">
        <f t="shared" ref="AC3:AC13" si="1">AA3*12</f>
        <v>180000</v>
      </c>
      <c r="AD3" s="20">
        <f t="shared" ref="AD3:AD22" si="2">AB3/AC3</f>
        <v>0.32798333333333335</v>
      </c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8"/>
      <c r="AS3" s="8"/>
      <c r="AT3" s="8"/>
    </row>
    <row r="4" spans="1:46" ht="16.5" customHeight="1" outlineLevel="1" x14ac:dyDescent="0.25">
      <c r="A4" s="8"/>
      <c r="B4" s="581"/>
      <c r="C4" s="15" t="s">
        <v>20</v>
      </c>
      <c r="D4" s="16">
        <v>3132</v>
      </c>
      <c r="E4" s="17">
        <v>10000</v>
      </c>
      <c r="F4" s="16">
        <v>5493</v>
      </c>
      <c r="G4" s="17">
        <v>10000</v>
      </c>
      <c r="H4" s="16">
        <v>4828</v>
      </c>
      <c r="I4" s="17">
        <v>10000</v>
      </c>
      <c r="J4" s="16">
        <f>4717+110</f>
        <v>4827</v>
      </c>
      <c r="K4" s="17">
        <v>10000</v>
      </c>
      <c r="L4" s="16">
        <v>4907</v>
      </c>
      <c r="M4" s="17">
        <v>10000</v>
      </c>
      <c r="N4" s="16">
        <v>6281</v>
      </c>
      <c r="O4" s="17">
        <v>10000</v>
      </c>
      <c r="P4" s="16">
        <f>6607+172</f>
        <v>6779</v>
      </c>
      <c r="Q4" s="17">
        <v>10000</v>
      </c>
      <c r="R4" s="16">
        <v>5909</v>
      </c>
      <c r="S4" s="17">
        <v>10000</v>
      </c>
      <c r="T4" s="16">
        <v>7326</v>
      </c>
      <c r="U4" s="17">
        <v>10000</v>
      </c>
      <c r="V4" s="16">
        <v>7109</v>
      </c>
      <c r="W4" s="17">
        <v>10000</v>
      </c>
      <c r="X4" s="16">
        <v>0</v>
      </c>
      <c r="Y4" s="17">
        <v>10000</v>
      </c>
      <c r="Z4" s="16">
        <v>0</v>
      </c>
      <c r="AA4" s="17">
        <v>10000</v>
      </c>
      <c r="AB4" s="18">
        <f t="shared" si="0"/>
        <v>56591</v>
      </c>
      <c r="AC4" s="19">
        <f t="shared" si="1"/>
        <v>120000</v>
      </c>
      <c r="AD4" s="20">
        <f t="shared" si="2"/>
        <v>0.47159166666666669</v>
      </c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</row>
    <row r="5" spans="1:46" ht="16.5" customHeight="1" outlineLevel="1" x14ac:dyDescent="0.25">
      <c r="A5" s="8"/>
      <c r="B5" s="581"/>
      <c r="C5" s="15" t="s">
        <v>21</v>
      </c>
      <c r="D5" s="16">
        <v>11498</v>
      </c>
      <c r="E5" s="17">
        <v>30000</v>
      </c>
      <c r="F5" s="16">
        <v>10324</v>
      </c>
      <c r="G5" s="17">
        <v>30000</v>
      </c>
      <c r="H5" s="16">
        <v>11361</v>
      </c>
      <c r="I5" s="17">
        <v>30000</v>
      </c>
      <c r="J5" s="16">
        <v>11712</v>
      </c>
      <c r="K5" s="17">
        <v>30000</v>
      </c>
      <c r="L5" s="16">
        <v>11540</v>
      </c>
      <c r="M5" s="17">
        <v>30000</v>
      </c>
      <c r="N5" s="16">
        <v>10640</v>
      </c>
      <c r="O5" s="17">
        <v>30000</v>
      </c>
      <c r="P5" s="16">
        <v>10255</v>
      </c>
      <c r="Q5" s="17">
        <v>30000</v>
      </c>
      <c r="R5" s="16">
        <v>10767</v>
      </c>
      <c r="S5" s="17">
        <v>30000</v>
      </c>
      <c r="T5" s="16">
        <v>10471</v>
      </c>
      <c r="U5" s="17">
        <v>30000</v>
      </c>
      <c r="V5" s="16">
        <v>11611</v>
      </c>
      <c r="W5" s="17">
        <v>30000</v>
      </c>
      <c r="X5" s="16">
        <v>0</v>
      </c>
      <c r="Y5" s="17">
        <v>30000</v>
      </c>
      <c r="Z5" s="16">
        <v>0</v>
      </c>
      <c r="AA5" s="17">
        <v>30000</v>
      </c>
      <c r="AB5" s="18">
        <f t="shared" si="0"/>
        <v>110179</v>
      </c>
      <c r="AC5" s="19">
        <f t="shared" si="1"/>
        <v>360000</v>
      </c>
      <c r="AD5" s="20">
        <f t="shared" si="2"/>
        <v>0.30605277777777778</v>
      </c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</row>
    <row r="6" spans="1:46" ht="16.5" customHeight="1" outlineLevel="1" x14ac:dyDescent="0.25">
      <c r="A6" s="8"/>
      <c r="B6" s="581"/>
      <c r="C6" s="15" t="s">
        <v>22</v>
      </c>
      <c r="D6" s="16">
        <v>3363</v>
      </c>
      <c r="E6" s="17">
        <f>3000+5000</f>
        <v>8000</v>
      </c>
      <c r="F6" s="16">
        <v>2787</v>
      </c>
      <c r="G6" s="17">
        <f>3000+5000</f>
        <v>8000</v>
      </c>
      <c r="H6" s="16">
        <v>1808</v>
      </c>
      <c r="I6" s="17">
        <f>3000+5000</f>
        <v>8000</v>
      </c>
      <c r="J6" s="16">
        <v>2456</v>
      </c>
      <c r="K6" s="17">
        <f>3000+5000</f>
        <v>8000</v>
      </c>
      <c r="L6" s="16">
        <v>3764</v>
      </c>
      <c r="M6" s="17">
        <f>3000+5000</f>
        <v>8000</v>
      </c>
      <c r="N6" s="16">
        <v>2476</v>
      </c>
      <c r="O6" s="17">
        <f>3000+5000</f>
        <v>8000</v>
      </c>
      <c r="P6" s="16">
        <v>1581</v>
      </c>
      <c r="Q6" s="17">
        <f>3000+5000</f>
        <v>8000</v>
      </c>
      <c r="R6" s="16">
        <v>2540</v>
      </c>
      <c r="S6" s="17">
        <f>3000+5000</f>
        <v>8000</v>
      </c>
      <c r="T6" s="16">
        <v>764</v>
      </c>
      <c r="U6" s="17">
        <f>3000+5000</f>
        <v>8000</v>
      </c>
      <c r="V6" s="16">
        <v>2646</v>
      </c>
      <c r="W6" s="17">
        <f>3000+5000</f>
        <v>8000</v>
      </c>
      <c r="X6" s="16">
        <v>0</v>
      </c>
      <c r="Y6" s="17">
        <f>3000+5000</f>
        <v>8000</v>
      </c>
      <c r="Z6" s="16">
        <v>0</v>
      </c>
      <c r="AA6" s="17">
        <f>3000+5000</f>
        <v>8000</v>
      </c>
      <c r="AB6" s="18">
        <f t="shared" si="0"/>
        <v>24185</v>
      </c>
      <c r="AC6" s="19">
        <f t="shared" si="1"/>
        <v>96000</v>
      </c>
      <c r="AD6" s="20">
        <f t="shared" si="2"/>
        <v>0.25192708333333336</v>
      </c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16.5" customHeight="1" outlineLevel="1" x14ac:dyDescent="0.25">
      <c r="A7" s="8"/>
      <c r="B7" s="581"/>
      <c r="C7" s="15" t="s">
        <v>23</v>
      </c>
      <c r="D7" s="16">
        <v>390</v>
      </c>
      <c r="E7" s="17">
        <v>8000</v>
      </c>
      <c r="F7" s="16">
        <v>1376</v>
      </c>
      <c r="G7" s="17">
        <v>8000</v>
      </c>
      <c r="H7" s="16">
        <v>976</v>
      </c>
      <c r="I7" s="17">
        <v>8000</v>
      </c>
      <c r="J7" s="16">
        <v>2357</v>
      </c>
      <c r="K7" s="17">
        <v>8000</v>
      </c>
      <c r="L7" s="16">
        <v>3796</v>
      </c>
      <c r="M7" s="17">
        <v>8000</v>
      </c>
      <c r="N7" s="16">
        <v>1175</v>
      </c>
      <c r="O7" s="17">
        <v>8000</v>
      </c>
      <c r="P7" s="16">
        <v>2527</v>
      </c>
      <c r="Q7" s="17">
        <v>8000</v>
      </c>
      <c r="R7" s="16">
        <v>1505</v>
      </c>
      <c r="S7" s="17">
        <v>8000</v>
      </c>
      <c r="T7" s="16">
        <v>5034</v>
      </c>
      <c r="U7" s="17">
        <v>8000</v>
      </c>
      <c r="V7" s="16">
        <v>1702</v>
      </c>
      <c r="W7" s="17">
        <v>8000</v>
      </c>
      <c r="X7" s="16">
        <v>0</v>
      </c>
      <c r="Y7" s="17">
        <v>8000</v>
      </c>
      <c r="Z7" s="16">
        <v>0</v>
      </c>
      <c r="AA7" s="17">
        <v>8000</v>
      </c>
      <c r="AB7" s="18">
        <f t="shared" si="0"/>
        <v>20838</v>
      </c>
      <c r="AC7" s="19">
        <f t="shared" si="1"/>
        <v>96000</v>
      </c>
      <c r="AD7" s="20">
        <f t="shared" si="2"/>
        <v>0.21706249999999999</v>
      </c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</row>
    <row r="8" spans="1:46" ht="16.5" customHeight="1" outlineLevel="1" x14ac:dyDescent="0.25">
      <c r="A8" s="8"/>
      <c r="B8" s="581"/>
      <c r="C8" s="15" t="s">
        <v>24</v>
      </c>
      <c r="D8" s="16">
        <v>0</v>
      </c>
      <c r="E8" s="17">
        <v>8000</v>
      </c>
      <c r="F8" s="16">
        <v>762</v>
      </c>
      <c r="G8" s="17">
        <v>8000</v>
      </c>
      <c r="H8" s="16">
        <v>503</v>
      </c>
      <c r="I8" s="17">
        <v>8000</v>
      </c>
      <c r="J8" s="16">
        <v>810</v>
      </c>
      <c r="K8" s="17">
        <v>8000</v>
      </c>
      <c r="L8" s="16">
        <v>0</v>
      </c>
      <c r="M8" s="17">
        <v>8000</v>
      </c>
      <c r="N8" s="16">
        <v>1050</v>
      </c>
      <c r="O8" s="17">
        <v>8000</v>
      </c>
      <c r="P8" s="16">
        <v>22500</v>
      </c>
      <c r="Q8" s="17">
        <v>8000</v>
      </c>
      <c r="R8" s="16">
        <v>0</v>
      </c>
      <c r="S8" s="17">
        <v>8000</v>
      </c>
      <c r="T8" s="16">
        <v>0</v>
      </c>
      <c r="U8" s="17">
        <v>8000</v>
      </c>
      <c r="V8" s="16">
        <v>0</v>
      </c>
      <c r="W8" s="17">
        <v>8000</v>
      </c>
      <c r="X8" s="16">
        <v>0</v>
      </c>
      <c r="Y8" s="17">
        <v>8000</v>
      </c>
      <c r="Z8" s="16">
        <v>0</v>
      </c>
      <c r="AA8" s="17">
        <v>8000</v>
      </c>
      <c r="AB8" s="18">
        <f t="shared" si="0"/>
        <v>25625</v>
      </c>
      <c r="AC8" s="19">
        <f t="shared" si="1"/>
        <v>96000</v>
      </c>
      <c r="AD8" s="20">
        <f t="shared" si="2"/>
        <v>0.26692708333333331</v>
      </c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</row>
    <row r="9" spans="1:46" ht="16.5" customHeight="1" outlineLevel="1" x14ac:dyDescent="0.25">
      <c r="A9" s="8"/>
      <c r="B9" s="581"/>
      <c r="C9" s="15" t="s">
        <v>25</v>
      </c>
      <c r="D9" s="16">
        <v>2093</v>
      </c>
      <c r="E9" s="17">
        <v>5000</v>
      </c>
      <c r="F9" s="16">
        <v>2063</v>
      </c>
      <c r="G9" s="17">
        <v>5000</v>
      </c>
      <c r="H9" s="16">
        <v>1856</v>
      </c>
      <c r="I9" s="17">
        <v>5000</v>
      </c>
      <c r="J9" s="16">
        <f>64+2082</f>
        <v>2146</v>
      </c>
      <c r="K9" s="17">
        <v>5000</v>
      </c>
      <c r="L9" s="16">
        <v>2753</v>
      </c>
      <c r="M9" s="17">
        <v>5000</v>
      </c>
      <c r="N9" s="16">
        <v>3623</v>
      </c>
      <c r="O9" s="17">
        <v>5000</v>
      </c>
      <c r="P9" s="16">
        <f>4024+64+64+233</f>
        <v>4385</v>
      </c>
      <c r="Q9" s="17">
        <v>5000</v>
      </c>
      <c r="R9" s="16">
        <v>2833</v>
      </c>
      <c r="S9" s="17">
        <v>5000</v>
      </c>
      <c r="T9" s="16">
        <v>3081</v>
      </c>
      <c r="U9" s="17">
        <v>5000</v>
      </c>
      <c r="V9" s="16">
        <v>1982</v>
      </c>
      <c r="W9" s="17">
        <v>5000</v>
      </c>
      <c r="X9" s="16">
        <v>0</v>
      </c>
      <c r="Y9" s="17">
        <v>5000</v>
      </c>
      <c r="Z9" s="16">
        <v>0</v>
      </c>
      <c r="AA9" s="17">
        <v>5000</v>
      </c>
      <c r="AB9" s="18">
        <f t="shared" si="0"/>
        <v>26815</v>
      </c>
      <c r="AC9" s="19">
        <f t="shared" si="1"/>
        <v>60000</v>
      </c>
      <c r="AD9" s="20">
        <f t="shared" si="2"/>
        <v>0.44691666666666668</v>
      </c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</row>
    <row r="10" spans="1:46" ht="16.5" customHeight="1" outlineLevel="1" x14ac:dyDescent="0.25">
      <c r="A10" s="8"/>
      <c r="B10" s="581"/>
      <c r="C10" s="15" t="s">
        <v>26</v>
      </c>
      <c r="D10" s="16">
        <v>0</v>
      </c>
      <c r="E10" s="17">
        <v>5000</v>
      </c>
      <c r="F10" s="16">
        <v>350</v>
      </c>
      <c r="G10" s="17">
        <v>5000</v>
      </c>
      <c r="H10" s="16">
        <v>639</v>
      </c>
      <c r="I10" s="17">
        <v>5000</v>
      </c>
      <c r="J10" s="16">
        <v>0</v>
      </c>
      <c r="K10" s="17">
        <v>5000</v>
      </c>
      <c r="L10" s="16">
        <v>210</v>
      </c>
      <c r="M10" s="17">
        <v>5000</v>
      </c>
      <c r="N10" s="16">
        <v>200</v>
      </c>
      <c r="O10" s="17">
        <v>5000</v>
      </c>
      <c r="P10" s="16">
        <f>4394+1355</f>
        <v>5749</v>
      </c>
      <c r="Q10" s="17">
        <v>5000</v>
      </c>
      <c r="R10" s="16">
        <v>240</v>
      </c>
      <c r="S10" s="17">
        <v>5000</v>
      </c>
      <c r="T10" s="16">
        <v>0</v>
      </c>
      <c r="U10" s="17">
        <v>5000</v>
      </c>
      <c r="V10" s="16">
        <v>0</v>
      </c>
      <c r="W10" s="17">
        <v>5000</v>
      </c>
      <c r="X10" s="16">
        <v>0</v>
      </c>
      <c r="Y10" s="17">
        <v>5000</v>
      </c>
      <c r="Z10" s="16">
        <v>0</v>
      </c>
      <c r="AA10" s="17">
        <v>5000</v>
      </c>
      <c r="AB10" s="18">
        <f t="shared" si="0"/>
        <v>7388</v>
      </c>
      <c r="AC10" s="19">
        <f t="shared" si="1"/>
        <v>60000</v>
      </c>
      <c r="AD10" s="20">
        <f t="shared" si="2"/>
        <v>0.12313333333333333</v>
      </c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</row>
    <row r="11" spans="1:46" ht="16.5" customHeight="1" outlineLevel="1" x14ac:dyDescent="0.25">
      <c r="A11" s="8"/>
      <c r="B11" s="581"/>
      <c r="C11" s="15" t="s">
        <v>27</v>
      </c>
      <c r="D11" s="16">
        <v>220</v>
      </c>
      <c r="E11" s="17">
        <v>1000</v>
      </c>
      <c r="F11" s="16">
        <v>200</v>
      </c>
      <c r="G11" s="17">
        <v>1000</v>
      </c>
      <c r="H11" s="16">
        <v>200</v>
      </c>
      <c r="I11" s="17">
        <v>1000</v>
      </c>
      <c r="J11" s="16">
        <v>0</v>
      </c>
      <c r="K11" s="17">
        <v>1000</v>
      </c>
      <c r="L11" s="16">
        <v>50</v>
      </c>
      <c r="M11" s="17">
        <v>1000</v>
      </c>
      <c r="N11" s="16">
        <v>100</v>
      </c>
      <c r="O11" s="17">
        <v>1000</v>
      </c>
      <c r="P11" s="16" t="s">
        <v>28</v>
      </c>
      <c r="Q11" s="17">
        <v>1000</v>
      </c>
      <c r="R11" s="16">
        <v>0</v>
      </c>
      <c r="S11" s="17">
        <v>1000</v>
      </c>
      <c r="T11" s="16">
        <v>0</v>
      </c>
      <c r="U11" s="17">
        <v>1000</v>
      </c>
      <c r="V11" s="16">
        <v>0</v>
      </c>
      <c r="W11" s="17">
        <v>1000</v>
      </c>
      <c r="X11" s="16">
        <v>0</v>
      </c>
      <c r="Y11" s="17">
        <v>1000</v>
      </c>
      <c r="Z11" s="16">
        <v>0</v>
      </c>
      <c r="AA11" s="17">
        <v>1000</v>
      </c>
      <c r="AB11" s="18">
        <f t="shared" si="0"/>
        <v>770</v>
      </c>
      <c r="AC11" s="19">
        <f t="shared" si="1"/>
        <v>12000</v>
      </c>
      <c r="AD11" s="20">
        <f t="shared" si="2"/>
        <v>6.4166666666666664E-2</v>
      </c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</row>
    <row r="12" spans="1:46" ht="16.5" customHeight="1" outlineLevel="1" x14ac:dyDescent="0.25">
      <c r="A12" s="8"/>
      <c r="B12" s="581"/>
      <c r="C12" s="15" t="s">
        <v>29</v>
      </c>
      <c r="D12" s="16">
        <v>430</v>
      </c>
      <c r="E12" s="17">
        <v>500</v>
      </c>
      <c r="F12" s="16">
        <v>836</v>
      </c>
      <c r="G12" s="17">
        <v>500</v>
      </c>
      <c r="H12" s="16">
        <v>310</v>
      </c>
      <c r="I12" s="17">
        <v>500</v>
      </c>
      <c r="J12" s="16">
        <v>430</v>
      </c>
      <c r="K12" s="17">
        <v>500</v>
      </c>
      <c r="L12" s="16">
        <v>525</v>
      </c>
      <c r="M12" s="17">
        <v>500</v>
      </c>
      <c r="N12" s="16">
        <v>675</v>
      </c>
      <c r="O12" s="17">
        <v>500</v>
      </c>
      <c r="P12" s="16">
        <v>310</v>
      </c>
      <c r="Q12" s="17">
        <v>500</v>
      </c>
      <c r="R12" s="16">
        <v>790</v>
      </c>
      <c r="S12" s="17">
        <v>500</v>
      </c>
      <c r="T12" s="16">
        <v>300</v>
      </c>
      <c r="U12" s="17">
        <v>500</v>
      </c>
      <c r="V12" s="16">
        <v>875</v>
      </c>
      <c r="W12" s="17">
        <v>500</v>
      </c>
      <c r="X12" s="16">
        <v>0</v>
      </c>
      <c r="Y12" s="17">
        <v>500</v>
      </c>
      <c r="Z12" s="16">
        <v>0</v>
      </c>
      <c r="AA12" s="17">
        <v>500</v>
      </c>
      <c r="AB12" s="18">
        <f t="shared" si="0"/>
        <v>5481</v>
      </c>
      <c r="AC12" s="19">
        <f t="shared" si="1"/>
        <v>6000</v>
      </c>
      <c r="AD12" s="20">
        <f t="shared" si="2"/>
        <v>0.91349999999999998</v>
      </c>
      <c r="AE12" s="8"/>
      <c r="AF12" s="8"/>
      <c r="AG12" s="4"/>
      <c r="AH12" s="4"/>
      <c r="AI12" s="8"/>
      <c r="AJ12" s="4"/>
      <c r="AK12" s="4"/>
      <c r="AL12" s="8"/>
      <c r="AM12" s="4"/>
      <c r="AN12" s="4"/>
      <c r="AO12" s="8"/>
      <c r="AP12" s="4"/>
      <c r="AQ12" s="4"/>
      <c r="AR12" s="8"/>
      <c r="AS12" s="8"/>
      <c r="AT12" s="8"/>
    </row>
    <row r="13" spans="1:46" ht="16.5" customHeight="1" outlineLevel="1" x14ac:dyDescent="0.25">
      <c r="A13" s="8"/>
      <c r="B13" s="581"/>
      <c r="C13" s="15" t="s">
        <v>30</v>
      </c>
      <c r="D13" s="16">
        <v>2628</v>
      </c>
      <c r="E13" s="17">
        <v>5000</v>
      </c>
      <c r="F13" s="16">
        <v>409</v>
      </c>
      <c r="G13" s="17">
        <v>5000</v>
      </c>
      <c r="H13" s="16">
        <v>2430</v>
      </c>
      <c r="I13" s="17">
        <v>5000</v>
      </c>
      <c r="J13" s="16">
        <f>700+1495-300</f>
        <v>1895</v>
      </c>
      <c r="K13" s="17">
        <v>5000</v>
      </c>
      <c r="L13" s="16">
        <v>960</v>
      </c>
      <c r="M13" s="17">
        <v>5000</v>
      </c>
      <c r="N13" s="16">
        <v>1154</v>
      </c>
      <c r="O13" s="17">
        <v>5000</v>
      </c>
      <c r="P13" s="16">
        <v>2450</v>
      </c>
      <c r="Q13" s="17">
        <v>5000</v>
      </c>
      <c r="R13" s="16">
        <v>1661</v>
      </c>
      <c r="S13" s="17">
        <v>5000</v>
      </c>
      <c r="T13" s="16">
        <v>210</v>
      </c>
      <c r="U13" s="17">
        <v>5000</v>
      </c>
      <c r="V13" s="16">
        <v>1000</v>
      </c>
      <c r="W13" s="17">
        <v>5000</v>
      </c>
      <c r="X13" s="16">
        <v>0</v>
      </c>
      <c r="Y13" s="17">
        <v>5000</v>
      </c>
      <c r="Z13" s="16">
        <v>0</v>
      </c>
      <c r="AA13" s="17">
        <v>5000</v>
      </c>
      <c r="AB13" s="18">
        <f t="shared" si="0"/>
        <v>14797</v>
      </c>
      <c r="AC13" s="19">
        <f t="shared" si="1"/>
        <v>60000</v>
      </c>
      <c r="AD13" s="20">
        <f t="shared" si="2"/>
        <v>0.24661666666666668</v>
      </c>
      <c r="AE13" s="8"/>
      <c r="AF13" s="8"/>
      <c r="AG13" s="4"/>
      <c r="AH13" s="4"/>
      <c r="AI13" s="8"/>
      <c r="AJ13" s="4"/>
      <c r="AK13" s="4"/>
      <c r="AL13" s="8"/>
      <c r="AM13" s="4"/>
      <c r="AN13" s="4"/>
      <c r="AO13" s="8"/>
      <c r="AP13" s="4"/>
      <c r="AQ13" s="4"/>
      <c r="AR13" s="8"/>
      <c r="AS13" s="8"/>
      <c r="AT13" s="8"/>
    </row>
    <row r="14" spans="1:46" ht="17.25" customHeight="1" outlineLevel="1" x14ac:dyDescent="0.25">
      <c r="A14" s="8"/>
      <c r="B14" s="581"/>
      <c r="C14" s="15" t="s">
        <v>31</v>
      </c>
      <c r="D14" s="16">
        <v>0</v>
      </c>
      <c r="E14" s="17">
        <v>0</v>
      </c>
      <c r="F14" s="16">
        <v>0</v>
      </c>
      <c r="G14" s="17">
        <v>75000</v>
      </c>
      <c r="H14" s="16">
        <v>0</v>
      </c>
      <c r="I14" s="17">
        <v>0</v>
      </c>
      <c r="J14" s="16">
        <v>0</v>
      </c>
      <c r="K14" s="17">
        <v>0</v>
      </c>
      <c r="L14" s="16">
        <v>0</v>
      </c>
      <c r="M14" s="17">
        <v>0</v>
      </c>
      <c r="N14" s="16">
        <v>0</v>
      </c>
      <c r="O14" s="17">
        <v>75000</v>
      </c>
      <c r="P14" s="16">
        <v>0</v>
      </c>
      <c r="Q14" s="17">
        <v>0</v>
      </c>
      <c r="R14" s="16">
        <v>0</v>
      </c>
      <c r="S14" s="17">
        <v>0</v>
      </c>
      <c r="T14" s="16">
        <v>3930</v>
      </c>
      <c r="U14" s="17">
        <v>0</v>
      </c>
      <c r="V14" s="16">
        <v>0</v>
      </c>
      <c r="W14" s="17">
        <v>0</v>
      </c>
      <c r="X14" s="16">
        <v>0</v>
      </c>
      <c r="Y14" s="17">
        <v>0</v>
      </c>
      <c r="Z14" s="16">
        <v>0</v>
      </c>
      <c r="AA14" s="17">
        <v>80000</v>
      </c>
      <c r="AB14" s="18">
        <f t="shared" si="0"/>
        <v>3930</v>
      </c>
      <c r="AC14" s="19">
        <f>AA14*2</f>
        <v>160000</v>
      </c>
      <c r="AD14" s="20">
        <f t="shared" si="2"/>
        <v>2.4562500000000001E-2</v>
      </c>
      <c r="AE14" s="8"/>
      <c r="AF14" s="8"/>
      <c r="AG14" s="4"/>
      <c r="AH14" s="4"/>
      <c r="AI14" s="8"/>
      <c r="AJ14" s="4"/>
      <c r="AK14" s="4"/>
      <c r="AL14" s="8"/>
      <c r="AM14" s="4"/>
      <c r="AN14" s="4"/>
      <c r="AO14" s="8"/>
      <c r="AP14" s="4"/>
      <c r="AQ14" s="4"/>
      <c r="AR14" s="8"/>
      <c r="AS14" s="8"/>
      <c r="AT14" s="8"/>
    </row>
    <row r="15" spans="1:46" ht="18.75" x14ac:dyDescent="0.3">
      <c r="A15" s="8"/>
      <c r="B15" s="21" t="s">
        <v>32</v>
      </c>
      <c r="C15" s="21"/>
      <c r="D15" s="22">
        <f t="shared" ref="D15:AA15" si="3">SUM(D3:D14)</f>
        <v>28629</v>
      </c>
      <c r="E15" s="22">
        <f t="shared" si="3"/>
        <v>95500</v>
      </c>
      <c r="F15" s="22">
        <f t="shared" si="3"/>
        <v>30019</v>
      </c>
      <c r="G15" s="22">
        <f t="shared" si="3"/>
        <v>170500</v>
      </c>
      <c r="H15" s="22">
        <f t="shared" si="3"/>
        <v>29681</v>
      </c>
      <c r="I15" s="22">
        <f t="shared" si="3"/>
        <v>95500</v>
      </c>
      <c r="J15" s="22">
        <f t="shared" si="3"/>
        <v>33278</v>
      </c>
      <c r="K15" s="22">
        <f t="shared" si="3"/>
        <v>95500</v>
      </c>
      <c r="L15" s="22">
        <f t="shared" si="3"/>
        <v>33391</v>
      </c>
      <c r="M15" s="22">
        <f t="shared" si="3"/>
        <v>95500</v>
      </c>
      <c r="N15" s="22">
        <f t="shared" si="3"/>
        <v>32256</v>
      </c>
      <c r="O15" s="22">
        <f t="shared" si="3"/>
        <v>170500</v>
      </c>
      <c r="P15" s="22">
        <f t="shared" si="3"/>
        <v>63045</v>
      </c>
      <c r="Q15" s="22">
        <f t="shared" si="3"/>
        <v>95500</v>
      </c>
      <c r="R15" s="22">
        <f t="shared" si="3"/>
        <v>33280</v>
      </c>
      <c r="S15" s="22">
        <f t="shared" si="3"/>
        <v>95500</v>
      </c>
      <c r="T15" s="22">
        <f t="shared" si="3"/>
        <v>36371</v>
      </c>
      <c r="U15" s="22">
        <f t="shared" si="3"/>
        <v>95500</v>
      </c>
      <c r="V15" s="22">
        <f t="shared" si="3"/>
        <v>35686</v>
      </c>
      <c r="W15" s="22">
        <f t="shared" si="3"/>
        <v>95500</v>
      </c>
      <c r="X15" s="22">
        <f t="shared" si="3"/>
        <v>0</v>
      </c>
      <c r="Y15" s="22">
        <f t="shared" si="3"/>
        <v>95500</v>
      </c>
      <c r="Z15" s="22">
        <f t="shared" si="3"/>
        <v>0</v>
      </c>
      <c r="AA15" s="23">
        <f t="shared" si="3"/>
        <v>175500</v>
      </c>
      <c r="AB15" s="24">
        <f>SUM(AB3:AB14)</f>
        <v>355636</v>
      </c>
      <c r="AC15" s="25">
        <f>SUM(AC3:AC14)</f>
        <v>1306000</v>
      </c>
      <c r="AD15" s="20">
        <f t="shared" si="2"/>
        <v>0.27230934150076569</v>
      </c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</row>
    <row r="16" spans="1:46" s="26" customFormat="1" ht="17.25" customHeight="1" x14ac:dyDescent="0.25">
      <c r="A16" s="27"/>
      <c r="B16" s="28" t="s">
        <v>17</v>
      </c>
      <c r="C16" s="28"/>
      <c r="D16" s="29">
        <f t="shared" ref="D16:AA16" si="4">D15/D22</f>
        <v>1.1884184308841843</v>
      </c>
      <c r="E16" s="29">
        <f t="shared" si="4"/>
        <v>0.54571428571428571</v>
      </c>
      <c r="F16" s="29">
        <f t="shared" si="4"/>
        <v>0.52749125797325558</v>
      </c>
      <c r="G16" s="29">
        <f t="shared" si="4"/>
        <v>0.97428571428571431</v>
      </c>
      <c r="H16" s="29">
        <f>H15/H22</f>
        <v>0.9591843329886246</v>
      </c>
      <c r="I16" s="29">
        <f t="shared" si="4"/>
        <v>0.54571428571428571</v>
      </c>
      <c r="J16" s="29">
        <f>J15/J22</f>
        <v>0.90498205156097034</v>
      </c>
      <c r="K16" s="29">
        <f t="shared" si="4"/>
        <v>0.54571428571428571</v>
      </c>
      <c r="L16" s="29">
        <f t="shared" si="4"/>
        <v>0.90284988102963448</v>
      </c>
      <c r="M16" s="29">
        <f t="shared" si="4"/>
        <v>0.54571428571428571</v>
      </c>
      <c r="N16" s="29">
        <f t="shared" si="4"/>
        <v>0.90181167524043837</v>
      </c>
      <c r="O16" s="29">
        <f t="shared" si="4"/>
        <v>0.97428571428571431</v>
      </c>
      <c r="P16" s="29">
        <f t="shared" si="4"/>
        <v>0.57695475510652316</v>
      </c>
      <c r="Q16" s="29">
        <f t="shared" si="4"/>
        <v>0.54571428571428571</v>
      </c>
      <c r="R16" s="29">
        <f t="shared" si="4"/>
        <v>0.64068997381795778</v>
      </c>
      <c r="S16" s="29">
        <f t="shared" si="4"/>
        <v>0.54571428571428571</v>
      </c>
      <c r="T16" s="29">
        <f t="shared" si="4"/>
        <v>0.72459408307600359</v>
      </c>
      <c r="U16" s="29">
        <f t="shared" si="4"/>
        <v>0.54571428571428571</v>
      </c>
      <c r="V16" s="29">
        <f t="shared" si="4"/>
        <v>1.3680659382787042</v>
      </c>
      <c r="W16" s="29">
        <f t="shared" si="4"/>
        <v>0.54571428571428571</v>
      </c>
      <c r="X16" s="29" t="e">
        <f t="shared" si="4"/>
        <v>#DIV/0!</v>
      </c>
      <c r="Y16" s="29">
        <f t="shared" si="4"/>
        <v>0.54571428571428571</v>
      </c>
      <c r="Z16" s="29" t="e">
        <f t="shared" si="4"/>
        <v>#DIV/0!</v>
      </c>
      <c r="AA16" s="29">
        <f t="shared" si="4"/>
        <v>1.0028571428571429</v>
      </c>
      <c r="AB16" s="24" t="e">
        <f t="shared" si="0"/>
        <v>#DIV/0!</v>
      </c>
      <c r="AC16" s="30"/>
      <c r="AD16" s="20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</row>
    <row r="17" spans="1:46" ht="16.5" customHeight="1" outlineLevel="1" x14ac:dyDescent="0.25">
      <c r="A17" s="8"/>
      <c r="B17" s="582" t="s">
        <v>33</v>
      </c>
      <c r="C17" s="31" t="s">
        <v>34</v>
      </c>
      <c r="D17" s="16">
        <f>10713+4228+6449</f>
        <v>21390</v>
      </c>
      <c r="E17" s="32">
        <v>90000</v>
      </c>
      <c r="F17" s="16">
        <f>19503+9326</f>
        <v>28829</v>
      </c>
      <c r="G17" s="32">
        <v>90000</v>
      </c>
      <c r="H17" s="16">
        <f>17029+11500</f>
        <v>28529</v>
      </c>
      <c r="I17" s="32">
        <v>90000</v>
      </c>
      <c r="J17" s="16">
        <f>21750+60+12714</f>
        <v>34524</v>
      </c>
      <c r="K17" s="32">
        <v>90000</v>
      </c>
      <c r="L17" s="16">
        <f>7874+11013+2500+6297</f>
        <v>27684</v>
      </c>
      <c r="M17" s="32">
        <v>90000</v>
      </c>
      <c r="N17" s="16">
        <f>8433+10538+11057</f>
        <v>30028</v>
      </c>
      <c r="O17" s="32">
        <v>90000</v>
      </c>
      <c r="P17" s="16">
        <f>64572+10524+8173+12481+12472</f>
        <v>108222</v>
      </c>
      <c r="Q17" s="32">
        <v>90000</v>
      </c>
      <c r="R17" s="16">
        <f>12535+12534+26575</f>
        <v>51644</v>
      </c>
      <c r="S17" s="32">
        <v>90000</v>
      </c>
      <c r="T17" s="16">
        <f>12235+13105+24855</f>
        <v>50195</v>
      </c>
      <c r="U17" s="32">
        <v>90000</v>
      </c>
      <c r="V17" s="16">
        <f>13105+12480</f>
        <v>25585</v>
      </c>
      <c r="W17" s="32">
        <v>90000</v>
      </c>
      <c r="X17" s="16">
        <v>0</v>
      </c>
      <c r="Y17" s="32">
        <v>90000</v>
      </c>
      <c r="Z17" s="16">
        <v>0</v>
      </c>
      <c r="AA17" s="33">
        <v>90000</v>
      </c>
      <c r="AB17" s="18">
        <f t="shared" si="0"/>
        <v>406630</v>
      </c>
      <c r="AC17" s="19">
        <f t="shared" ref="AC17:AC21" si="5">AA17*12</f>
        <v>1080000</v>
      </c>
      <c r="AD17" s="20">
        <f t="shared" si="2"/>
        <v>0.37650925925925927</v>
      </c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</row>
    <row r="18" spans="1:46" ht="16.5" customHeight="1" outlineLevel="1" x14ac:dyDescent="0.25">
      <c r="A18" s="8"/>
      <c r="B18" s="582"/>
      <c r="C18" s="34" t="s">
        <v>35</v>
      </c>
      <c r="D18" s="16">
        <f>500+700+1000</f>
        <v>2200</v>
      </c>
      <c r="E18" s="32">
        <v>0</v>
      </c>
      <c r="F18" s="16">
        <f>1450+550</f>
        <v>2000</v>
      </c>
      <c r="G18" s="32">
        <v>0</v>
      </c>
      <c r="H18" s="16">
        <v>415</v>
      </c>
      <c r="I18" s="32">
        <v>0</v>
      </c>
      <c r="J18" s="16">
        <v>0</v>
      </c>
      <c r="K18" s="32">
        <v>0</v>
      </c>
      <c r="L18" s="16">
        <v>550</v>
      </c>
      <c r="M18" s="32">
        <v>0</v>
      </c>
      <c r="N18" s="16">
        <v>2300</v>
      </c>
      <c r="O18" s="32">
        <v>0</v>
      </c>
      <c r="P18" s="16">
        <v>1050</v>
      </c>
      <c r="Q18" s="35">
        <v>0</v>
      </c>
      <c r="R18" s="36">
        <v>0</v>
      </c>
      <c r="S18" s="35">
        <v>0</v>
      </c>
      <c r="T18" s="36">
        <v>0</v>
      </c>
      <c r="U18" s="35">
        <v>0</v>
      </c>
      <c r="V18" s="36">
        <v>500</v>
      </c>
      <c r="W18" s="35">
        <v>0</v>
      </c>
      <c r="X18" s="36">
        <v>0</v>
      </c>
      <c r="Y18" s="35">
        <v>0</v>
      </c>
      <c r="Z18" s="36">
        <v>0</v>
      </c>
      <c r="AA18" s="37">
        <v>0</v>
      </c>
      <c r="AB18" s="18">
        <f t="shared" si="0"/>
        <v>9015</v>
      </c>
      <c r="AC18" s="19">
        <f t="shared" si="5"/>
        <v>0</v>
      </c>
      <c r="AD18" s="20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</row>
    <row r="19" spans="1:46" ht="16.5" customHeight="1" outlineLevel="1" x14ac:dyDescent="0.25">
      <c r="A19" s="8"/>
      <c r="B19" s="582"/>
      <c r="C19" s="31" t="s">
        <v>36</v>
      </c>
      <c r="D19" s="16">
        <v>0</v>
      </c>
      <c r="E19" s="32">
        <v>75000</v>
      </c>
      <c r="F19" s="16">
        <v>0</v>
      </c>
      <c r="G19" s="32">
        <v>75000</v>
      </c>
      <c r="H19" s="16">
        <v>0</v>
      </c>
      <c r="I19" s="32">
        <v>75000</v>
      </c>
      <c r="J19" s="16">
        <v>0</v>
      </c>
      <c r="K19" s="32">
        <v>75000</v>
      </c>
      <c r="L19" s="16">
        <v>0</v>
      </c>
      <c r="M19" s="32">
        <v>75000</v>
      </c>
      <c r="N19" s="16">
        <v>0</v>
      </c>
      <c r="O19" s="32">
        <v>75000</v>
      </c>
      <c r="P19" s="16">
        <v>0</v>
      </c>
      <c r="Q19" s="32">
        <v>75000</v>
      </c>
      <c r="R19" s="16">
        <v>0</v>
      </c>
      <c r="S19" s="32">
        <v>75000</v>
      </c>
      <c r="T19" s="16">
        <v>0</v>
      </c>
      <c r="U19" s="32">
        <v>75000</v>
      </c>
      <c r="V19" s="16">
        <v>0</v>
      </c>
      <c r="W19" s="32">
        <v>75000</v>
      </c>
      <c r="X19" s="16">
        <v>0</v>
      </c>
      <c r="Y19" s="32">
        <v>75000</v>
      </c>
      <c r="Z19" s="16">
        <v>0</v>
      </c>
      <c r="AA19" s="33">
        <v>75000</v>
      </c>
      <c r="AB19" s="18">
        <f t="shared" si="0"/>
        <v>0</v>
      </c>
      <c r="AC19" s="19">
        <f t="shared" si="5"/>
        <v>900000</v>
      </c>
      <c r="AD19" s="20">
        <f t="shared" si="2"/>
        <v>0</v>
      </c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8"/>
      <c r="AS19" s="8"/>
      <c r="AT19" s="8"/>
    </row>
    <row r="20" spans="1:46" ht="16.5" customHeight="1" outlineLevel="1" x14ac:dyDescent="0.25">
      <c r="A20" s="8"/>
      <c r="B20" s="582"/>
      <c r="C20" s="34" t="s">
        <v>37</v>
      </c>
      <c r="D20" s="16">
        <v>0</v>
      </c>
      <c r="E20" s="32">
        <v>10000</v>
      </c>
      <c r="F20" s="16">
        <v>4080</v>
      </c>
      <c r="G20" s="32">
        <v>10000</v>
      </c>
      <c r="H20" s="16">
        <v>0</v>
      </c>
      <c r="I20" s="32">
        <v>10000</v>
      </c>
      <c r="J20" s="16">
        <v>0</v>
      </c>
      <c r="K20" s="32">
        <v>10000</v>
      </c>
      <c r="L20" s="16">
        <v>0</v>
      </c>
      <c r="M20" s="32">
        <v>10000</v>
      </c>
      <c r="N20" s="16">
        <v>2040</v>
      </c>
      <c r="O20" s="32">
        <v>10000</v>
      </c>
      <c r="P20" s="36">
        <v>0</v>
      </c>
      <c r="Q20" s="35">
        <v>10000</v>
      </c>
      <c r="R20" s="36">
        <v>0</v>
      </c>
      <c r="S20" s="35">
        <v>10000</v>
      </c>
      <c r="T20" s="36">
        <v>0</v>
      </c>
      <c r="U20" s="35">
        <v>10000</v>
      </c>
      <c r="V20" s="36">
        <v>0</v>
      </c>
      <c r="W20" s="35">
        <v>10000</v>
      </c>
      <c r="X20" s="36">
        <v>0</v>
      </c>
      <c r="Y20" s="35">
        <v>10000</v>
      </c>
      <c r="Z20" s="36">
        <v>0</v>
      </c>
      <c r="AA20" s="35">
        <v>10000</v>
      </c>
      <c r="AB20" s="18">
        <f t="shared" si="0"/>
        <v>6120</v>
      </c>
      <c r="AC20" s="19">
        <f t="shared" si="5"/>
        <v>120000</v>
      </c>
      <c r="AD20" s="20">
        <f t="shared" si="2"/>
        <v>5.0999999999999997E-2</v>
      </c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8"/>
      <c r="AS20" s="8"/>
      <c r="AT20" s="8"/>
    </row>
    <row r="21" spans="1:46" ht="16.5" customHeight="1" outlineLevel="1" x14ac:dyDescent="0.25">
      <c r="A21" s="8"/>
      <c r="B21" s="582"/>
      <c r="C21" s="31" t="s">
        <v>38</v>
      </c>
      <c r="D21" s="16">
        <v>500</v>
      </c>
      <c r="E21" s="32">
        <v>0</v>
      </c>
      <c r="F21" s="16">
        <f>500+1500+20000</f>
        <v>22000</v>
      </c>
      <c r="G21" s="32">
        <v>0</v>
      </c>
      <c r="H21" s="16">
        <v>2000</v>
      </c>
      <c r="I21" s="32">
        <v>0</v>
      </c>
      <c r="J21" s="16">
        <f>50+2564+460-826</f>
        <v>2248</v>
      </c>
      <c r="K21" s="32">
        <v>0</v>
      </c>
      <c r="L21" s="16">
        <v>8750</v>
      </c>
      <c r="M21" s="32">
        <v>0</v>
      </c>
      <c r="N21" s="16">
        <f>1000+400</f>
        <v>1400</v>
      </c>
      <c r="O21" s="32">
        <v>0</v>
      </c>
      <c r="P21" s="16">
        <v>0</v>
      </c>
      <c r="Q21" s="32">
        <v>0</v>
      </c>
      <c r="R21" s="16">
        <v>300</v>
      </c>
      <c r="S21" s="32">
        <v>0</v>
      </c>
      <c r="T21" s="16">
        <v>0</v>
      </c>
      <c r="U21" s="32">
        <v>0</v>
      </c>
      <c r="V21" s="16">
        <v>0</v>
      </c>
      <c r="W21" s="32">
        <v>0</v>
      </c>
      <c r="X21" s="16">
        <v>0</v>
      </c>
      <c r="Y21" s="32">
        <v>0</v>
      </c>
      <c r="Z21" s="16">
        <v>0</v>
      </c>
      <c r="AA21" s="32">
        <v>0</v>
      </c>
      <c r="AB21" s="18">
        <f t="shared" si="0"/>
        <v>37198</v>
      </c>
      <c r="AC21" s="19">
        <f t="shared" si="5"/>
        <v>0</v>
      </c>
      <c r="AD21" s="20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8"/>
      <c r="AS21" s="8"/>
      <c r="AT21" s="8"/>
    </row>
    <row r="22" spans="1:46" ht="18.75" x14ac:dyDescent="0.3">
      <c r="A22" s="8"/>
      <c r="B22" s="38" t="s">
        <v>32</v>
      </c>
      <c r="C22" s="38"/>
      <c r="D22" s="39">
        <f>SUM(D17:D21)</f>
        <v>24090</v>
      </c>
      <c r="E22" s="39">
        <f>SUM(E17:E21)</f>
        <v>175000</v>
      </c>
      <c r="F22" s="40">
        <f>SUM(F17:F21)</f>
        <v>56909</v>
      </c>
      <c r="G22" s="40">
        <f>SUM(G17:G21)</f>
        <v>175000</v>
      </c>
      <c r="H22" s="39">
        <f>SUM(H17:H21)</f>
        <v>30944</v>
      </c>
      <c r="I22" s="39">
        <f t="shared" ref="I22:AC22" si="6">SUM(I17:I21)</f>
        <v>175000</v>
      </c>
      <c r="J22" s="39">
        <f t="shared" si="6"/>
        <v>36772</v>
      </c>
      <c r="K22" s="39">
        <f t="shared" si="6"/>
        <v>175000</v>
      </c>
      <c r="L22" s="39">
        <f t="shared" si="6"/>
        <v>36984</v>
      </c>
      <c r="M22" s="39">
        <f t="shared" si="6"/>
        <v>175000</v>
      </c>
      <c r="N22" s="39">
        <f t="shared" si="6"/>
        <v>35768</v>
      </c>
      <c r="O22" s="39">
        <f t="shared" si="6"/>
        <v>175000</v>
      </c>
      <c r="P22" s="39">
        <f t="shared" si="6"/>
        <v>109272</v>
      </c>
      <c r="Q22" s="39">
        <f t="shared" si="6"/>
        <v>175000</v>
      </c>
      <c r="R22" s="39">
        <f t="shared" si="6"/>
        <v>51944</v>
      </c>
      <c r="S22" s="39">
        <f t="shared" si="6"/>
        <v>175000</v>
      </c>
      <c r="T22" s="39">
        <f t="shared" si="6"/>
        <v>50195</v>
      </c>
      <c r="U22" s="39">
        <f t="shared" si="6"/>
        <v>175000</v>
      </c>
      <c r="V22" s="39">
        <f t="shared" si="6"/>
        <v>26085</v>
      </c>
      <c r="W22" s="39">
        <f t="shared" si="6"/>
        <v>175000</v>
      </c>
      <c r="X22" s="39">
        <f t="shared" si="6"/>
        <v>0</v>
      </c>
      <c r="Y22" s="39">
        <f t="shared" si="6"/>
        <v>175000</v>
      </c>
      <c r="Z22" s="39">
        <f t="shared" si="6"/>
        <v>0</v>
      </c>
      <c r="AA22" s="41">
        <f t="shared" si="6"/>
        <v>175000</v>
      </c>
      <c r="AB22" s="42">
        <f t="shared" si="6"/>
        <v>458963</v>
      </c>
      <c r="AC22" s="43">
        <f t="shared" si="6"/>
        <v>2100000</v>
      </c>
      <c r="AD22" s="20">
        <f t="shared" si="2"/>
        <v>0.21855380952380951</v>
      </c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</row>
    <row r="23" spans="1:46" ht="18.75" x14ac:dyDescent="0.3">
      <c r="A23" s="8"/>
      <c r="B23" s="583" t="s">
        <v>39</v>
      </c>
      <c r="C23" s="44"/>
      <c r="D23" s="45"/>
      <c r="E23" s="39"/>
      <c r="F23" s="45"/>
      <c r="G23" s="39"/>
      <c r="H23" s="45"/>
      <c r="I23" s="39"/>
      <c r="J23" s="45"/>
      <c r="K23" s="39"/>
      <c r="L23" s="45"/>
      <c r="M23" s="39"/>
      <c r="N23" s="45"/>
      <c r="O23" s="39"/>
      <c r="P23" s="45"/>
      <c r="Q23" s="39"/>
      <c r="R23" s="45"/>
      <c r="S23" s="39"/>
      <c r="T23" s="45"/>
      <c r="U23" s="39"/>
      <c r="V23" s="45"/>
      <c r="W23" s="39"/>
      <c r="X23" s="45"/>
      <c r="Y23" s="39"/>
      <c r="Z23" s="45"/>
      <c r="AA23" s="41"/>
      <c r="AB23" s="46"/>
      <c r="AC23" s="47"/>
      <c r="AD23" s="4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</row>
    <row r="24" spans="1:46" s="49" customFormat="1" ht="16.5" customHeight="1" x14ac:dyDescent="0.25">
      <c r="A24" s="50"/>
      <c r="B24" s="584"/>
      <c r="C24" s="51" t="s">
        <v>40</v>
      </c>
      <c r="D24" s="45">
        <v>1650</v>
      </c>
      <c r="E24" s="39">
        <v>15000</v>
      </c>
      <c r="F24" s="45">
        <f>50+250+200+2300+1000+800-1600+250</f>
        <v>3250</v>
      </c>
      <c r="G24" s="39">
        <v>0</v>
      </c>
      <c r="H24" s="45">
        <v>0</v>
      </c>
      <c r="I24" s="39">
        <v>0</v>
      </c>
      <c r="J24" s="45">
        <v>850</v>
      </c>
      <c r="K24" s="39">
        <v>0</v>
      </c>
      <c r="L24" s="45">
        <v>500</v>
      </c>
      <c r="M24" s="39">
        <v>0</v>
      </c>
      <c r="N24" s="45">
        <v>590</v>
      </c>
      <c r="O24" s="39">
        <v>0</v>
      </c>
      <c r="P24" s="45">
        <v>2000</v>
      </c>
      <c r="Q24" s="39">
        <v>0</v>
      </c>
      <c r="R24" s="45">
        <v>580</v>
      </c>
      <c r="S24" s="39">
        <v>0</v>
      </c>
      <c r="T24" s="45">
        <v>1530</v>
      </c>
      <c r="U24" s="39">
        <v>0</v>
      </c>
      <c r="V24" s="45">
        <v>1700</v>
      </c>
      <c r="W24" s="39">
        <v>0</v>
      </c>
      <c r="X24" s="45">
        <v>0</v>
      </c>
      <c r="Y24" s="39">
        <v>0</v>
      </c>
      <c r="Z24" s="45">
        <v>0</v>
      </c>
      <c r="AA24" s="39">
        <v>0</v>
      </c>
      <c r="AB24" s="52">
        <f t="shared" ref="AB24:AB30" si="7">D24+F24+H24+J24+L24+N24+P24+R24+T24+V24+X24+Z24</f>
        <v>12650</v>
      </c>
      <c r="AC24" s="47">
        <f t="shared" ref="AC24:AC30" si="8">Z24*12</f>
        <v>0</v>
      </c>
      <c r="AD24" s="53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</row>
    <row r="25" spans="1:46" s="49" customFormat="1" ht="16.5" customHeight="1" x14ac:dyDescent="0.25">
      <c r="A25" s="50"/>
      <c r="B25" s="584"/>
      <c r="C25" s="51" t="s">
        <v>41</v>
      </c>
      <c r="D25" s="45">
        <v>500</v>
      </c>
      <c r="E25" s="39">
        <v>10000</v>
      </c>
      <c r="F25" s="45">
        <f>50+200+500</f>
        <v>750</v>
      </c>
      <c r="G25" s="39">
        <v>0</v>
      </c>
      <c r="H25" s="45">
        <f>750+450+300</f>
        <v>1500</v>
      </c>
      <c r="I25" s="39">
        <v>0</v>
      </c>
      <c r="J25" s="45">
        <v>1600</v>
      </c>
      <c r="K25" s="39">
        <v>0</v>
      </c>
      <c r="L25" s="45">
        <v>700</v>
      </c>
      <c r="M25" s="39">
        <v>0</v>
      </c>
      <c r="N25" s="45">
        <v>0</v>
      </c>
      <c r="O25" s="39">
        <v>0</v>
      </c>
      <c r="P25" s="45">
        <v>0</v>
      </c>
      <c r="Q25" s="39">
        <v>0</v>
      </c>
      <c r="R25" s="45">
        <v>0</v>
      </c>
      <c r="S25" s="39">
        <v>0</v>
      </c>
      <c r="T25" s="45">
        <v>0</v>
      </c>
      <c r="U25" s="39">
        <v>0</v>
      </c>
      <c r="V25" s="45">
        <v>0</v>
      </c>
      <c r="W25" s="39">
        <v>0</v>
      </c>
      <c r="X25" s="45">
        <v>0</v>
      </c>
      <c r="Y25" s="39">
        <v>0</v>
      </c>
      <c r="Z25" s="45">
        <v>0</v>
      </c>
      <c r="AA25" s="39">
        <v>0</v>
      </c>
      <c r="AB25" s="52">
        <f t="shared" si="7"/>
        <v>5050</v>
      </c>
      <c r="AC25" s="47">
        <f t="shared" si="8"/>
        <v>0</v>
      </c>
      <c r="AD25" s="53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</row>
    <row r="26" spans="1:46" s="49" customFormat="1" ht="16.5" customHeight="1" x14ac:dyDescent="0.25">
      <c r="A26" s="50"/>
      <c r="B26" s="584"/>
      <c r="C26" s="51" t="s">
        <v>42</v>
      </c>
      <c r="D26" s="45">
        <v>100</v>
      </c>
      <c r="E26" s="39">
        <v>10000</v>
      </c>
      <c r="F26" s="45">
        <v>0</v>
      </c>
      <c r="G26" s="39">
        <v>0</v>
      </c>
      <c r="H26" s="45">
        <v>0</v>
      </c>
      <c r="I26" s="39">
        <v>0</v>
      </c>
      <c r="J26" s="45">
        <v>0</v>
      </c>
      <c r="K26" s="39">
        <v>0</v>
      </c>
      <c r="L26" s="45">
        <v>150</v>
      </c>
      <c r="M26" s="39">
        <v>0</v>
      </c>
      <c r="N26" s="45">
        <v>389</v>
      </c>
      <c r="O26" s="39">
        <v>0</v>
      </c>
      <c r="P26" s="45">
        <v>0</v>
      </c>
      <c r="Q26" s="39">
        <v>0</v>
      </c>
      <c r="R26" s="45">
        <v>0</v>
      </c>
      <c r="S26" s="39">
        <v>0</v>
      </c>
      <c r="T26" s="45">
        <v>400</v>
      </c>
      <c r="U26" s="39">
        <v>0</v>
      </c>
      <c r="V26" s="45">
        <v>0</v>
      </c>
      <c r="W26" s="39">
        <v>0</v>
      </c>
      <c r="X26" s="45">
        <v>0</v>
      </c>
      <c r="Y26" s="39">
        <v>0</v>
      </c>
      <c r="Z26" s="45">
        <v>0</v>
      </c>
      <c r="AA26" s="39">
        <v>0</v>
      </c>
      <c r="AB26" s="52">
        <f t="shared" si="7"/>
        <v>1039</v>
      </c>
      <c r="AC26" s="47">
        <f t="shared" si="8"/>
        <v>0</v>
      </c>
      <c r="AD26" s="53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</row>
    <row r="27" spans="1:46" s="49" customFormat="1" ht="16.5" customHeight="1" x14ac:dyDescent="0.25">
      <c r="A27" s="50"/>
      <c r="B27" s="584"/>
      <c r="C27" s="51" t="s">
        <v>43</v>
      </c>
      <c r="D27" s="45">
        <v>2559</v>
      </c>
      <c r="E27" s="39">
        <v>6000</v>
      </c>
      <c r="F27" s="45">
        <f>250+50+50+50</f>
        <v>400</v>
      </c>
      <c r="G27" s="39">
        <v>0</v>
      </c>
      <c r="H27" s="45">
        <v>0</v>
      </c>
      <c r="I27" s="39">
        <v>0</v>
      </c>
      <c r="J27" s="45">
        <v>904</v>
      </c>
      <c r="K27" s="39">
        <v>0</v>
      </c>
      <c r="L27" s="45">
        <v>1143</v>
      </c>
      <c r="M27" s="39">
        <v>0</v>
      </c>
      <c r="N27" s="45">
        <v>383</v>
      </c>
      <c r="O27" s="39">
        <v>0</v>
      </c>
      <c r="P27" s="45">
        <v>0</v>
      </c>
      <c r="Q27" s="39">
        <v>0</v>
      </c>
      <c r="R27" s="45">
        <v>0</v>
      </c>
      <c r="S27" s="39">
        <v>0</v>
      </c>
      <c r="T27" s="45">
        <v>130</v>
      </c>
      <c r="U27" s="39">
        <v>0</v>
      </c>
      <c r="V27" s="45">
        <v>0</v>
      </c>
      <c r="W27" s="39">
        <v>0</v>
      </c>
      <c r="X27" s="45">
        <v>0</v>
      </c>
      <c r="Y27" s="39">
        <v>0</v>
      </c>
      <c r="Z27" s="45">
        <v>0</v>
      </c>
      <c r="AA27" s="39">
        <v>0</v>
      </c>
      <c r="AB27" s="52">
        <f t="shared" si="7"/>
        <v>5519</v>
      </c>
      <c r="AC27" s="47">
        <f t="shared" si="8"/>
        <v>0</v>
      </c>
      <c r="AD27" s="53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</row>
    <row r="28" spans="1:46" s="49" customFormat="1" ht="16.5" customHeight="1" x14ac:dyDescent="0.25">
      <c r="A28" s="50"/>
      <c r="B28" s="584"/>
      <c r="C28" s="51" t="s">
        <v>44</v>
      </c>
      <c r="D28" s="45">
        <v>275</v>
      </c>
      <c r="E28" s="39">
        <v>5000</v>
      </c>
      <c r="F28" s="45">
        <f>550+250</f>
        <v>800</v>
      </c>
      <c r="G28" s="39">
        <v>0</v>
      </c>
      <c r="H28" s="45">
        <v>500</v>
      </c>
      <c r="I28" s="39">
        <v>0</v>
      </c>
      <c r="J28" s="45">
        <v>700</v>
      </c>
      <c r="K28" s="39">
        <v>0</v>
      </c>
      <c r="L28" s="45">
        <v>200</v>
      </c>
      <c r="M28" s="39">
        <v>0</v>
      </c>
      <c r="N28" s="45">
        <v>500</v>
      </c>
      <c r="O28" s="39">
        <v>0</v>
      </c>
      <c r="P28" s="45">
        <v>600</v>
      </c>
      <c r="Q28" s="39">
        <v>0</v>
      </c>
      <c r="R28" s="45">
        <v>300</v>
      </c>
      <c r="S28" s="39">
        <v>0</v>
      </c>
      <c r="T28" s="45">
        <v>830</v>
      </c>
      <c r="U28" s="39">
        <v>0</v>
      </c>
      <c r="V28" s="45">
        <v>0</v>
      </c>
      <c r="W28" s="39">
        <v>0</v>
      </c>
      <c r="X28" s="45">
        <v>0</v>
      </c>
      <c r="Y28" s="39">
        <v>0</v>
      </c>
      <c r="Z28" s="45">
        <v>0</v>
      </c>
      <c r="AA28" s="39">
        <v>0</v>
      </c>
      <c r="AB28" s="52">
        <f t="shared" si="7"/>
        <v>4705</v>
      </c>
      <c r="AC28" s="47">
        <f t="shared" si="8"/>
        <v>0</v>
      </c>
      <c r="AD28" s="53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</row>
    <row r="29" spans="1:46" s="49" customFormat="1" ht="16.5" customHeight="1" x14ac:dyDescent="0.25">
      <c r="A29" s="50"/>
      <c r="B29" s="584"/>
      <c r="C29" s="51" t="s">
        <v>45</v>
      </c>
      <c r="D29" s="45">
        <v>0</v>
      </c>
      <c r="E29" s="39">
        <v>6000</v>
      </c>
      <c r="F29" s="45">
        <v>10800</v>
      </c>
      <c r="G29" s="39">
        <v>0</v>
      </c>
      <c r="H29" s="45">
        <v>0</v>
      </c>
      <c r="I29" s="39">
        <v>0</v>
      </c>
      <c r="J29" s="45">
        <v>266</v>
      </c>
      <c r="K29" s="39">
        <v>0</v>
      </c>
      <c r="L29" s="45">
        <v>900</v>
      </c>
      <c r="M29" s="39">
        <v>0</v>
      </c>
      <c r="N29" s="45">
        <v>1000</v>
      </c>
      <c r="O29" s="39">
        <v>0</v>
      </c>
      <c r="P29" s="45">
        <f>20000-1881</f>
        <v>18119</v>
      </c>
      <c r="Q29" s="39">
        <v>0</v>
      </c>
      <c r="R29" s="45">
        <v>4300</v>
      </c>
      <c r="S29" s="39">
        <v>0</v>
      </c>
      <c r="T29" s="45">
        <v>667</v>
      </c>
      <c r="U29" s="39">
        <v>0</v>
      </c>
      <c r="V29" s="45">
        <v>10000</v>
      </c>
      <c r="W29" s="39">
        <v>0</v>
      </c>
      <c r="X29" s="45">
        <v>0</v>
      </c>
      <c r="Y29" s="39">
        <v>0</v>
      </c>
      <c r="Z29" s="45">
        <v>0</v>
      </c>
      <c r="AA29" s="39">
        <v>0</v>
      </c>
      <c r="AB29" s="52">
        <f t="shared" si="7"/>
        <v>46052</v>
      </c>
      <c r="AC29" s="47">
        <f t="shared" si="8"/>
        <v>0</v>
      </c>
      <c r="AD29" s="53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</row>
    <row r="30" spans="1:46" s="49" customFormat="1" ht="16.5" customHeight="1" x14ac:dyDescent="0.25">
      <c r="A30" s="50"/>
      <c r="B30" s="584"/>
      <c r="C30" s="51" t="s">
        <v>46</v>
      </c>
      <c r="D30" s="45">
        <v>0</v>
      </c>
      <c r="E30" s="39">
        <v>30000</v>
      </c>
      <c r="F30" s="45">
        <v>0</v>
      </c>
      <c r="G30" s="39">
        <v>0</v>
      </c>
      <c r="H30" s="45">
        <v>0</v>
      </c>
      <c r="I30" s="39">
        <v>0</v>
      </c>
      <c r="J30" s="45">
        <v>0</v>
      </c>
      <c r="K30" s="39">
        <v>0</v>
      </c>
      <c r="L30" s="45">
        <v>0</v>
      </c>
      <c r="M30" s="39">
        <v>0</v>
      </c>
      <c r="N30" s="45">
        <v>0</v>
      </c>
      <c r="O30" s="39">
        <v>0</v>
      </c>
      <c r="P30" s="45">
        <v>0</v>
      </c>
      <c r="Q30" s="39">
        <v>0</v>
      </c>
      <c r="R30" s="45">
        <v>0</v>
      </c>
      <c r="S30" s="39">
        <v>0</v>
      </c>
      <c r="T30" s="45">
        <v>0</v>
      </c>
      <c r="U30" s="39">
        <v>0</v>
      </c>
      <c r="V30" s="45">
        <v>0</v>
      </c>
      <c r="W30" s="39">
        <v>0</v>
      </c>
      <c r="X30" s="45">
        <v>0</v>
      </c>
      <c r="Y30" s="39">
        <v>0</v>
      </c>
      <c r="Z30" s="45">
        <v>0</v>
      </c>
      <c r="AA30" s="39">
        <v>0</v>
      </c>
      <c r="AB30" s="52">
        <f t="shared" si="7"/>
        <v>0</v>
      </c>
      <c r="AC30" s="47">
        <f t="shared" si="8"/>
        <v>0</v>
      </c>
      <c r="AD30" s="53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</row>
    <row r="31" spans="1:46" s="49" customFormat="1" ht="16.5" customHeight="1" x14ac:dyDescent="0.25">
      <c r="A31" s="50"/>
      <c r="B31" s="584"/>
      <c r="C31" s="51"/>
      <c r="D31" s="45"/>
      <c r="E31" s="39"/>
      <c r="F31" s="45"/>
      <c r="G31" s="39"/>
      <c r="H31" s="45"/>
      <c r="I31" s="39"/>
      <c r="J31" s="45"/>
      <c r="K31" s="39"/>
      <c r="L31" s="45"/>
      <c r="M31" s="39"/>
      <c r="N31" s="45">
        <v>650</v>
      </c>
      <c r="O31" s="39"/>
      <c r="P31" s="45">
        <f>891-336</f>
        <v>555</v>
      </c>
      <c r="Q31" s="39"/>
      <c r="R31" s="45"/>
      <c r="S31" s="39"/>
      <c r="T31" s="45">
        <v>3070</v>
      </c>
      <c r="U31" s="39"/>
      <c r="V31" s="45"/>
      <c r="W31" s="39"/>
      <c r="X31" s="45"/>
      <c r="Y31" s="39"/>
      <c r="Z31" s="45"/>
      <c r="AA31" s="39"/>
      <c r="AB31" s="52"/>
      <c r="AC31" s="47"/>
      <c r="AD31" s="53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</row>
    <row r="32" spans="1:46" s="54" customFormat="1" ht="19.5" customHeight="1" x14ac:dyDescent="0.25">
      <c r="A32" s="50"/>
      <c r="B32" s="585"/>
      <c r="C32" s="55" t="s">
        <v>47</v>
      </c>
      <c r="D32" s="56">
        <f>SUM(D24:D30)</f>
        <v>5084</v>
      </c>
      <c r="E32" s="39">
        <f>SUM(E24:E30)</f>
        <v>82000</v>
      </c>
      <c r="F32" s="56">
        <f>SUM(F24:F30)</f>
        <v>16000</v>
      </c>
      <c r="G32" s="39">
        <v>0</v>
      </c>
      <c r="H32" s="56">
        <f>SUM(H24:H30)</f>
        <v>2000</v>
      </c>
      <c r="I32" s="39">
        <v>0</v>
      </c>
      <c r="J32" s="56">
        <f>SUM(J24:J30)</f>
        <v>4320</v>
      </c>
      <c r="K32" s="39">
        <v>0</v>
      </c>
      <c r="L32" s="56">
        <f>SUM(L24:L30)</f>
        <v>3593</v>
      </c>
      <c r="M32" s="39">
        <v>0</v>
      </c>
      <c r="N32" s="56">
        <f>SUM(N24:N31)</f>
        <v>3512</v>
      </c>
      <c r="O32" s="39">
        <v>0</v>
      </c>
      <c r="P32" s="56">
        <f>SUM(P24:P31)</f>
        <v>21274</v>
      </c>
      <c r="Q32" s="39">
        <v>0</v>
      </c>
      <c r="R32" s="56">
        <f>SUM(R24:R30)</f>
        <v>5180</v>
      </c>
      <c r="S32" s="39">
        <v>0</v>
      </c>
      <c r="T32" s="56">
        <f>SUM(T24:T31)</f>
        <v>6627</v>
      </c>
      <c r="U32" s="39">
        <v>0</v>
      </c>
      <c r="V32" s="56">
        <f>SUM(V24:V30)</f>
        <v>11700</v>
      </c>
      <c r="W32" s="39">
        <v>0</v>
      </c>
      <c r="X32" s="56">
        <f>SUM(X24:X30)</f>
        <v>0</v>
      </c>
      <c r="Y32" s="39">
        <v>0</v>
      </c>
      <c r="Z32" s="56">
        <f>SUM(Z24:Z30)</f>
        <v>0</v>
      </c>
      <c r="AA32" s="39">
        <v>0</v>
      </c>
      <c r="AB32" s="57">
        <f>SUM(D32,F32,H32,J32,L32,N32,P32,R32,T32,V32,X32,Z32)</f>
        <v>79290</v>
      </c>
      <c r="AC32" s="47">
        <f>SUM(AC24:AC30)</f>
        <v>0</v>
      </c>
      <c r="AD32" s="53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</row>
    <row r="33" spans="1:46" s="58" customFormat="1" ht="19.5" customHeight="1" x14ac:dyDescent="0.25">
      <c r="A33" s="27"/>
      <c r="B33" s="59" t="s">
        <v>17</v>
      </c>
      <c r="C33" s="59"/>
      <c r="D33" s="60">
        <f>D34/D32</f>
        <v>-0.89280094413847366</v>
      </c>
      <c r="E33" s="60">
        <f>E32/E34</f>
        <v>1.0314465408805031</v>
      </c>
      <c r="F33" s="60">
        <f t="shared" ref="F33:G33" si="9">F32/F34</f>
        <v>0.59501673484566753</v>
      </c>
      <c r="G33" s="60">
        <f t="shared" si="9"/>
        <v>0</v>
      </c>
      <c r="H33" s="60">
        <f>H32/H34</f>
        <v>1.5835312747426762</v>
      </c>
      <c r="I33" s="60">
        <f t="shared" ref="I33:J33" si="10">I32/I34</f>
        <v>0</v>
      </c>
      <c r="J33" s="60">
        <f t="shared" si="10"/>
        <v>1.2364052661705782</v>
      </c>
      <c r="K33" s="60">
        <f>K32/K34</f>
        <v>0</v>
      </c>
      <c r="L33" s="60" t="s">
        <v>48</v>
      </c>
      <c r="M33" s="60">
        <f>M32/M34</f>
        <v>0</v>
      </c>
      <c r="N33" s="60">
        <f>N32/N34</f>
        <v>1</v>
      </c>
      <c r="O33" s="60">
        <f t="shared" ref="O33:P33" si="11">O32/O34</f>
        <v>0</v>
      </c>
      <c r="P33" s="60">
        <f t="shared" si="11"/>
        <v>0.46020723819412895</v>
      </c>
      <c r="Q33" s="60">
        <f>Q32/Q34</f>
        <v>0</v>
      </c>
      <c r="R33" s="60">
        <f t="shared" ref="R33:S33" si="12">R32/R34</f>
        <v>0.27753964852121732</v>
      </c>
      <c r="S33" s="60">
        <f t="shared" si="12"/>
        <v>0</v>
      </c>
      <c r="T33" s="60">
        <f>T32/T34</f>
        <v>0.47938368055555558</v>
      </c>
      <c r="U33" s="60">
        <f t="shared" ref="U33:V33" si="13">U32/U34</f>
        <v>0</v>
      </c>
      <c r="V33" s="60">
        <f t="shared" si="13"/>
        <v>-1.2186230600979064</v>
      </c>
      <c r="W33" s="60">
        <f>W32/W34</f>
        <v>0</v>
      </c>
      <c r="X33" s="60" t="e">
        <f t="shared" ref="X33:Y33" si="14">X32/X34</f>
        <v>#DIV/0!</v>
      </c>
      <c r="Y33" s="60">
        <f t="shared" si="14"/>
        <v>0</v>
      </c>
      <c r="Z33" s="60" t="e">
        <f>Z32/Z34</f>
        <v>#DIV/0!</v>
      </c>
      <c r="AA33" s="60">
        <f>AA32/AA34</f>
        <v>0</v>
      </c>
      <c r="AB33" s="61"/>
      <c r="AC33" s="62"/>
      <c r="AD33" s="63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</row>
    <row r="34" spans="1:46" s="8" customFormat="1" ht="38.25" customHeight="1" x14ac:dyDescent="0.25">
      <c r="B34" s="64" t="s">
        <v>49</v>
      </c>
      <c r="C34" s="64"/>
      <c r="D34" s="65">
        <f t="shared" ref="D34:AA34" si="15">D22-D15</f>
        <v>-4539</v>
      </c>
      <c r="E34" s="65">
        <f t="shared" si="15"/>
        <v>79500</v>
      </c>
      <c r="F34" s="65">
        <f t="shared" si="15"/>
        <v>26890</v>
      </c>
      <c r="G34" s="65">
        <f t="shared" si="15"/>
        <v>4500</v>
      </c>
      <c r="H34" s="65">
        <f>H22-H15</f>
        <v>1263</v>
      </c>
      <c r="I34" s="65">
        <f t="shared" si="15"/>
        <v>79500</v>
      </c>
      <c r="J34" s="65">
        <f>J22-J15</f>
        <v>3494</v>
      </c>
      <c r="K34" s="65">
        <f t="shared" si="15"/>
        <v>79500</v>
      </c>
      <c r="L34" s="65">
        <f>L22-L15</f>
        <v>3593</v>
      </c>
      <c r="M34" s="65">
        <f t="shared" si="15"/>
        <v>79500</v>
      </c>
      <c r="N34" s="65">
        <f>N22-N15</f>
        <v>3512</v>
      </c>
      <c r="O34" s="65">
        <f t="shared" si="15"/>
        <v>4500</v>
      </c>
      <c r="P34" s="65">
        <f t="shared" si="15"/>
        <v>46227</v>
      </c>
      <c r="Q34" s="65">
        <f t="shared" si="15"/>
        <v>79500</v>
      </c>
      <c r="R34" s="65">
        <f t="shared" si="15"/>
        <v>18664</v>
      </c>
      <c r="S34" s="65">
        <f t="shared" si="15"/>
        <v>79500</v>
      </c>
      <c r="T34" s="65">
        <f t="shared" si="15"/>
        <v>13824</v>
      </c>
      <c r="U34" s="65">
        <f t="shared" si="15"/>
        <v>79500</v>
      </c>
      <c r="V34" s="65">
        <f t="shared" si="15"/>
        <v>-9601</v>
      </c>
      <c r="W34" s="65">
        <f t="shared" si="15"/>
        <v>79500</v>
      </c>
      <c r="X34" s="65">
        <f t="shared" si="15"/>
        <v>0</v>
      </c>
      <c r="Y34" s="65">
        <f t="shared" si="15"/>
        <v>79500</v>
      </c>
      <c r="Z34" s="65">
        <f t="shared" si="15"/>
        <v>0</v>
      </c>
      <c r="AA34" s="65">
        <f t="shared" si="15"/>
        <v>-500</v>
      </c>
      <c r="AB34" s="66"/>
      <c r="AC34" s="66"/>
      <c r="AD34" s="48"/>
    </row>
    <row r="35" spans="1:46" x14ac:dyDescent="0.25">
      <c r="A35" s="8"/>
      <c r="B35" s="8"/>
      <c r="C35" s="8"/>
      <c r="D35" s="67"/>
      <c r="E35" s="67"/>
      <c r="F35" s="67"/>
      <c r="G35" s="3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</row>
    <row r="36" spans="1:46" x14ac:dyDescent="0.25">
      <c r="A36" s="8"/>
      <c r="B36" s="8" t="s">
        <v>50</v>
      </c>
      <c r="C36" s="68">
        <f>(J15/H15-1)</f>
        <v>0.12118863919679246</v>
      </c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>
        <f>P32-P34</f>
        <v>-24953</v>
      </c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</row>
    <row r="37" spans="1:46" x14ac:dyDescent="0.25">
      <c r="A37" s="8"/>
      <c r="B37" s="8"/>
      <c r="C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</row>
    <row r="38" spans="1:46" x14ac:dyDescent="0.25">
      <c r="A38" s="8"/>
      <c r="B38" s="8"/>
      <c r="C38" s="69">
        <f>(127440/118000-1)</f>
        <v>8.0000000000000071E-2</v>
      </c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</row>
    <row r="39" spans="1:46" x14ac:dyDescent="0.25">
      <c r="A39" s="8"/>
      <c r="B39" s="8"/>
      <c r="C39" s="8"/>
      <c r="D39" s="67"/>
      <c r="E39" s="67"/>
      <c r="F39" s="70" t="str">
        <f>IFERROR(IF(NOT(ISBLANK(D10)),D10/#REF!,""),"")</f>
        <v/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</row>
    <row r="40" spans="1:46" x14ac:dyDescent="0.25">
      <c r="A40" s="8"/>
      <c r="B40" s="8"/>
      <c r="C40" s="8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</row>
    <row r="41" spans="1:46" x14ac:dyDescent="0.25">
      <c r="A41" s="8"/>
      <c r="B41" s="8"/>
      <c r="C41" s="8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</row>
    <row r="42" spans="1:46" x14ac:dyDescent="0.25">
      <c r="A42" s="8"/>
      <c r="B42" s="8"/>
      <c r="C42" s="8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</row>
    <row r="43" spans="1:46" x14ac:dyDescent="0.25">
      <c r="A43" s="8"/>
      <c r="B43" s="8"/>
      <c r="C43" s="8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</row>
    <row r="44" spans="1:46" x14ac:dyDescent="0.25">
      <c r="A44" s="8"/>
      <c r="B44" s="8"/>
      <c r="C44" s="8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</row>
    <row r="45" spans="1:46" x14ac:dyDescent="0.25">
      <c r="A45" s="8"/>
      <c r="B45" s="8"/>
      <c r="C45" s="8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</row>
    <row r="46" spans="1:46" x14ac:dyDescent="0.25">
      <c r="A46" s="8"/>
      <c r="B46" s="8"/>
      <c r="C46" s="8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</row>
    <row r="47" spans="1:46" x14ac:dyDescent="0.25">
      <c r="A47" s="8"/>
      <c r="B47" s="8"/>
      <c r="C47" s="8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 t="s">
        <v>51</v>
      </c>
      <c r="U47" s="67"/>
      <c r="V47" s="67"/>
      <c r="W47" s="67"/>
      <c r="X47" s="67"/>
      <c r="Y47" s="67"/>
      <c r="Z47" s="67"/>
      <c r="AA47" s="67"/>
      <c r="AB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</row>
    <row r="48" spans="1:46" ht="29.25" x14ac:dyDescent="0.4">
      <c r="A48" s="8"/>
      <c r="B48" s="8"/>
      <c r="C48" s="4"/>
      <c r="D48" s="67"/>
      <c r="E48" s="71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</row>
    <row r="49" spans="1:46" x14ac:dyDescent="0.25">
      <c r="A49" s="8"/>
      <c r="B49" s="8"/>
      <c r="C49" s="4"/>
      <c r="D49" s="3"/>
      <c r="E49" s="3"/>
      <c r="F49" s="3"/>
      <c r="G49" s="67"/>
      <c r="H49" s="3"/>
      <c r="I49" s="3"/>
      <c r="J49" s="67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67"/>
      <c r="AA49" s="3"/>
      <c r="AB49" s="4"/>
      <c r="AD49" s="4"/>
      <c r="AE49" s="4"/>
      <c r="AF49" s="8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8"/>
      <c r="AS49" s="8"/>
      <c r="AT49" s="8"/>
    </row>
    <row r="50" spans="1:46" x14ac:dyDescent="0.25">
      <c r="A50" s="8"/>
      <c r="B50" s="8"/>
      <c r="C50" s="4"/>
      <c r="D50" s="3"/>
      <c r="E50" s="3"/>
      <c r="F50" s="3"/>
      <c r="G50" s="67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67"/>
      <c r="AA50" s="3"/>
      <c r="AB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8"/>
      <c r="AS50" s="8"/>
      <c r="AT50" s="8"/>
    </row>
    <row r="51" spans="1:46" x14ac:dyDescent="0.25">
      <c r="A51" s="8"/>
      <c r="B51" s="8"/>
      <c r="C51" s="8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67"/>
      <c r="AA51" s="3"/>
      <c r="AB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8"/>
      <c r="AS51" s="8"/>
      <c r="AT51" s="8"/>
    </row>
    <row r="52" spans="1:46" x14ac:dyDescent="0.25">
      <c r="A52" s="8"/>
      <c r="B52" s="8"/>
      <c r="C52" s="8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</row>
    <row r="53" spans="1:46" x14ac:dyDescent="0.25">
      <c r="A53" s="8"/>
      <c r="B53" s="8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</row>
    <row r="54" spans="1:46" x14ac:dyDescent="0.25">
      <c r="E54" s="67"/>
      <c r="F54" s="67"/>
      <c r="H54" s="67"/>
      <c r="I54" s="67"/>
      <c r="K54" s="67"/>
      <c r="L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Y54" s="67"/>
      <c r="AA54" s="67"/>
      <c r="AB54" s="8"/>
      <c r="AD54" s="8"/>
      <c r="AE54" s="8"/>
      <c r="AG54" s="8"/>
      <c r="AH54" s="8"/>
      <c r="AJ54" s="8"/>
      <c r="AK54" s="8"/>
      <c r="AM54" s="8"/>
      <c r="AN54" s="8"/>
      <c r="AP54" s="8"/>
      <c r="AQ54" s="8"/>
    </row>
    <row r="55" spans="1:46" x14ac:dyDescent="0.25">
      <c r="E55" s="67"/>
      <c r="F55" s="67"/>
      <c r="H55" s="67"/>
      <c r="I55" s="67"/>
      <c r="K55" s="67"/>
      <c r="L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Y55" s="67"/>
      <c r="AA55" s="67"/>
      <c r="AB55" s="8"/>
      <c r="AD55" s="8"/>
      <c r="AE55" s="8"/>
      <c r="AG55" s="8"/>
      <c r="AH55" s="8"/>
      <c r="AJ55" s="8"/>
      <c r="AK55" s="8"/>
      <c r="AM55" s="8"/>
      <c r="AN55" s="8"/>
      <c r="AP55" s="8"/>
      <c r="AQ55" s="8"/>
    </row>
    <row r="56" spans="1:46" x14ac:dyDescent="0.25">
      <c r="C56" s="4"/>
      <c r="E56" s="67"/>
      <c r="F56" s="67"/>
      <c r="H56" s="67"/>
      <c r="I56" s="67"/>
      <c r="K56" s="67"/>
      <c r="L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Y56" s="67"/>
      <c r="AA56" s="67"/>
      <c r="AB56" s="8"/>
      <c r="AD56" s="8"/>
      <c r="AE56" s="8"/>
      <c r="AG56" s="8"/>
      <c r="AH56" s="8"/>
      <c r="AJ56" s="8"/>
      <c r="AK56" s="8"/>
      <c r="AM56" s="8"/>
      <c r="AN56" s="8"/>
      <c r="AP56" s="8"/>
      <c r="AQ56" s="8"/>
    </row>
    <row r="57" spans="1:46" x14ac:dyDescent="0.25">
      <c r="C57" s="4"/>
      <c r="E57" s="72"/>
      <c r="F57" s="72"/>
      <c r="H57" s="3"/>
      <c r="I57" s="3"/>
      <c r="K57" s="3"/>
      <c r="L57" s="3"/>
      <c r="N57" s="3"/>
      <c r="O57" s="3"/>
      <c r="P57" s="3"/>
      <c r="Q57" s="3"/>
      <c r="R57" s="3"/>
      <c r="S57" s="3"/>
      <c r="T57" s="3"/>
      <c r="U57" s="3"/>
      <c r="V57" s="3"/>
      <c r="W57" s="3"/>
      <c r="Y57" s="3"/>
      <c r="AA57" s="3"/>
      <c r="AB57" s="73"/>
      <c r="AD57" s="4"/>
      <c r="AE57" s="4"/>
      <c r="AG57" s="4"/>
      <c r="AH57" s="4"/>
      <c r="AJ57" s="4"/>
      <c r="AK57" s="4"/>
      <c r="AM57" s="4"/>
      <c r="AN57" s="4"/>
      <c r="AP57" s="4"/>
      <c r="AQ57" s="4"/>
    </row>
    <row r="58" spans="1:46" x14ac:dyDescent="0.25">
      <c r="C58" s="74"/>
      <c r="D58" s="75"/>
      <c r="E58" s="3"/>
      <c r="F58" s="3"/>
      <c r="H58" s="3"/>
      <c r="I58" s="3"/>
      <c r="J58" s="75"/>
      <c r="K58" s="3"/>
      <c r="L58" s="3"/>
      <c r="M58" s="75"/>
      <c r="N58" s="3"/>
      <c r="O58" s="3"/>
      <c r="P58" s="3"/>
      <c r="Q58" s="3"/>
      <c r="R58" s="3"/>
      <c r="S58" s="3"/>
      <c r="T58" s="3"/>
      <c r="U58" s="3"/>
      <c r="V58" s="3"/>
      <c r="W58" s="3"/>
      <c r="X58" s="75"/>
      <c r="Y58" s="3"/>
      <c r="AA58" s="3"/>
      <c r="AB58" s="4"/>
      <c r="AD58" s="4"/>
      <c r="AE58" s="4"/>
      <c r="AF58" s="76"/>
      <c r="AG58" s="4"/>
      <c r="AH58" s="4"/>
      <c r="AI58" s="76"/>
      <c r="AJ58" s="4"/>
      <c r="AK58" s="4"/>
      <c r="AL58" s="76"/>
      <c r="AM58" s="4"/>
      <c r="AN58" s="4"/>
      <c r="AO58" s="76"/>
      <c r="AP58" s="4"/>
      <c r="AQ58" s="4"/>
    </row>
    <row r="59" spans="1:46" x14ac:dyDescent="0.25">
      <c r="C59" s="4"/>
      <c r="E59" s="77"/>
      <c r="F59" s="77"/>
      <c r="G59" s="67"/>
      <c r="H59" s="77"/>
      <c r="I59" s="77"/>
      <c r="J59" s="67"/>
      <c r="K59" s="77"/>
      <c r="L59" s="77"/>
      <c r="M59" s="6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67"/>
      <c r="Y59" s="77"/>
      <c r="AA59" s="77"/>
      <c r="AB59" s="78"/>
      <c r="AD59" s="78"/>
      <c r="AE59" s="78"/>
      <c r="AF59" s="79"/>
      <c r="AG59" s="78"/>
      <c r="AH59" s="78"/>
      <c r="AI59" s="79"/>
      <c r="AJ59" s="78"/>
      <c r="AK59" s="78"/>
      <c r="AL59" s="79"/>
      <c r="AM59" s="78"/>
      <c r="AN59" s="78"/>
      <c r="AO59" s="79"/>
      <c r="AP59" s="78"/>
      <c r="AQ59" s="78"/>
    </row>
    <row r="60" spans="1:46" x14ac:dyDescent="0.25">
      <c r="C60" s="4"/>
      <c r="D60" s="75"/>
      <c r="E60" s="80"/>
      <c r="F60" s="80"/>
      <c r="G60" s="67"/>
      <c r="H60" s="80"/>
      <c r="I60" s="80"/>
      <c r="J60" s="67"/>
      <c r="K60" s="80"/>
      <c r="L60" s="80"/>
      <c r="M60" s="67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67"/>
      <c r="Y60" s="80"/>
      <c r="AA60" s="80"/>
      <c r="AB60" s="81"/>
      <c r="AD60" s="81"/>
      <c r="AE60" s="81"/>
      <c r="AF60" s="82"/>
      <c r="AG60" s="81"/>
      <c r="AH60" s="81"/>
      <c r="AI60" s="82"/>
      <c r="AJ60" s="81"/>
      <c r="AK60" s="81"/>
      <c r="AL60" s="82"/>
      <c r="AM60" s="81"/>
      <c r="AN60" s="81"/>
      <c r="AO60" s="82"/>
      <c r="AP60" s="81"/>
      <c r="AQ60" s="81"/>
    </row>
    <row r="61" spans="1:46" x14ac:dyDescent="0.25">
      <c r="C61" s="83"/>
      <c r="D61" s="75"/>
      <c r="E61" s="3"/>
      <c r="F61" s="3"/>
      <c r="G61" s="67"/>
      <c r="H61" s="3"/>
      <c r="I61" s="3"/>
      <c r="J61" s="67"/>
      <c r="K61" s="3"/>
      <c r="L61" s="3"/>
      <c r="M61" s="67"/>
      <c r="N61" s="3"/>
      <c r="O61" s="3"/>
      <c r="P61" s="3"/>
      <c r="Q61" s="3"/>
      <c r="R61" s="3"/>
      <c r="S61" s="3"/>
      <c r="T61" s="3"/>
      <c r="U61" s="3"/>
      <c r="V61" s="3"/>
      <c r="W61" s="3"/>
      <c r="X61" s="67"/>
      <c r="Y61" s="3"/>
    </row>
    <row r="62" spans="1:46" x14ac:dyDescent="0.25">
      <c r="C62" s="84"/>
      <c r="D62" s="85"/>
    </row>
    <row r="63" spans="1:46" x14ac:dyDescent="0.25">
      <c r="C63" s="84"/>
      <c r="D63" s="86"/>
    </row>
    <row r="64" spans="1:46" x14ac:dyDescent="0.25">
      <c r="C64" s="84"/>
      <c r="D64" s="86"/>
    </row>
    <row r="65" spans="3:25" x14ac:dyDescent="0.25">
      <c r="C65" s="84"/>
      <c r="D65" s="86"/>
      <c r="E65" s="67"/>
      <c r="F65" s="77"/>
      <c r="H65" s="67"/>
      <c r="I65" s="77"/>
      <c r="K65" s="67"/>
      <c r="L65" s="77"/>
      <c r="N65" s="67"/>
      <c r="O65" s="77"/>
      <c r="P65" s="77"/>
      <c r="Q65" s="77"/>
      <c r="R65" s="77"/>
      <c r="S65" s="77"/>
      <c r="T65" s="77"/>
      <c r="U65" s="77"/>
      <c r="V65" s="77"/>
      <c r="W65" s="77"/>
      <c r="Y65" s="67"/>
    </row>
    <row r="66" spans="3:25" x14ac:dyDescent="0.25">
      <c r="C66" s="84"/>
      <c r="D66" s="86"/>
      <c r="E66" s="67"/>
      <c r="F66" s="77"/>
      <c r="H66" s="67"/>
      <c r="I66" s="77"/>
      <c r="K66" s="67"/>
      <c r="L66" s="77"/>
      <c r="N66" s="67"/>
      <c r="O66" s="77"/>
      <c r="P66" s="77"/>
      <c r="Q66" s="77"/>
      <c r="R66" s="77"/>
      <c r="S66" s="77"/>
      <c r="T66" s="77"/>
      <c r="U66" s="77"/>
      <c r="V66" s="77"/>
      <c r="W66" s="77"/>
      <c r="Y66" s="67"/>
    </row>
    <row r="67" spans="3:25" x14ac:dyDescent="0.25">
      <c r="C67" s="84"/>
      <c r="D67" s="86"/>
      <c r="E67" s="67"/>
      <c r="F67" s="77"/>
      <c r="H67" s="67"/>
      <c r="I67" s="77"/>
      <c r="K67" s="67"/>
      <c r="L67" s="77"/>
      <c r="N67" s="67"/>
      <c r="O67" s="77"/>
      <c r="P67" s="77"/>
      <c r="Q67" s="77"/>
      <c r="R67" s="77"/>
      <c r="S67" s="77"/>
      <c r="T67" s="77"/>
      <c r="U67" s="77"/>
      <c r="V67" s="77"/>
      <c r="W67" s="77"/>
      <c r="Y67" s="67"/>
    </row>
    <row r="68" spans="3:25" x14ac:dyDescent="0.25">
      <c r="C68" s="84"/>
      <c r="D68" s="86"/>
      <c r="E68" s="67"/>
      <c r="F68" s="77"/>
      <c r="H68" s="67"/>
      <c r="I68" s="77"/>
      <c r="K68" s="67"/>
      <c r="L68" s="77"/>
      <c r="N68" s="67"/>
      <c r="O68" s="77"/>
      <c r="P68" s="77"/>
      <c r="Q68" s="77"/>
      <c r="R68" s="77"/>
      <c r="S68" s="77"/>
      <c r="T68" s="77"/>
      <c r="U68" s="77"/>
      <c r="V68" s="77"/>
      <c r="W68" s="77"/>
      <c r="Y68" s="67"/>
    </row>
    <row r="69" spans="3:25" x14ac:dyDescent="0.25">
      <c r="C69" s="84"/>
      <c r="D69" s="86"/>
      <c r="F69" s="77"/>
      <c r="I69" s="77"/>
      <c r="J69" s="67"/>
      <c r="K69" s="67"/>
      <c r="L69" s="77"/>
      <c r="N69" s="67"/>
      <c r="O69" s="77"/>
      <c r="P69" s="77"/>
      <c r="Q69" s="77"/>
      <c r="R69" s="77"/>
      <c r="S69" s="77"/>
      <c r="T69" s="77"/>
      <c r="U69" s="77"/>
      <c r="V69" s="77"/>
      <c r="W69" s="77"/>
      <c r="Y69" s="67"/>
    </row>
    <row r="70" spans="3:25" x14ac:dyDescent="0.25">
      <c r="C70" s="84"/>
      <c r="D70" s="86"/>
      <c r="I70" s="75"/>
      <c r="K70" s="85"/>
    </row>
    <row r="71" spans="3:25" x14ac:dyDescent="0.25">
      <c r="C71" s="84"/>
      <c r="D71" s="86"/>
      <c r="K71" s="85"/>
    </row>
    <row r="72" spans="3:25" x14ac:dyDescent="0.25">
      <c r="C72" s="84"/>
      <c r="D72" s="86"/>
    </row>
    <row r="73" spans="3:25" x14ac:dyDescent="0.25">
      <c r="C73" s="84"/>
      <c r="D73" s="86"/>
    </row>
    <row r="74" spans="3:25" x14ac:dyDescent="0.25">
      <c r="C74" s="84"/>
      <c r="D74" s="86"/>
    </row>
    <row r="91" spans="6:23" x14ac:dyDescent="0.25">
      <c r="O91" s="75"/>
      <c r="P91" s="75"/>
      <c r="Q91" s="75"/>
      <c r="R91" s="75"/>
      <c r="S91" s="75"/>
      <c r="T91" s="75"/>
      <c r="U91" s="75"/>
      <c r="V91" s="75"/>
      <c r="W91" s="75"/>
    </row>
    <row r="92" spans="6:23" x14ac:dyDescent="0.25">
      <c r="K92" s="67"/>
    </row>
    <row r="93" spans="6:23" x14ac:dyDescent="0.25">
      <c r="F93" s="75"/>
      <c r="O93" s="75"/>
      <c r="P93" s="75"/>
      <c r="Q93" s="75"/>
      <c r="R93" s="75"/>
      <c r="S93" s="75"/>
      <c r="T93" s="75"/>
      <c r="U93" s="75"/>
      <c r="V93" s="75"/>
      <c r="W93" s="75"/>
    </row>
  </sheetData>
  <mergeCells count="3">
    <mergeCell ref="B3:B14"/>
    <mergeCell ref="B17:B21"/>
    <mergeCell ref="B23:B32"/>
  </mergeCells>
  <pageMargins left="0.7" right="0.7" top="0.75" bottom="0.75" header="0.3" footer="0.3"/>
  <pageSetup paperSize="9" scale="38" firstPageNumber="429496729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zoomScale="76" workbookViewId="0"/>
  </sheetViews>
  <sheetFormatPr defaultRowHeight="15" x14ac:dyDescent="0.25"/>
  <sheetData/>
  <pageMargins left="0.7" right="0.7" top="0.75" bottom="0.75" header="0.3" footer="0.3"/>
  <pageSetup paperSize="9" firstPageNumber="4294967295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</sheetPr>
  <dimension ref="A2:T76"/>
  <sheetViews>
    <sheetView showGridLines="0" topLeftCell="A3" zoomScale="85" zoomScaleNormal="85" workbookViewId="0">
      <selection activeCell="C29" sqref="C29"/>
    </sheetView>
  </sheetViews>
  <sheetFormatPr defaultRowHeight="15" x14ac:dyDescent="0.25"/>
  <cols>
    <col min="1" max="1" width="2.140625" customWidth="1"/>
    <col min="2" max="2" width="38" bestFit="1" customWidth="1"/>
    <col min="3" max="3" width="18.28515625" bestFit="1" customWidth="1"/>
    <col min="4" max="4" width="11.85546875" bestFit="1" customWidth="1"/>
    <col min="5" max="5" width="11.7109375" bestFit="1" customWidth="1"/>
    <col min="6" max="6" width="12.28515625" bestFit="1" customWidth="1"/>
    <col min="7" max="7" width="9.28515625" bestFit="1" customWidth="1"/>
    <col min="8" max="8" width="10.7109375" bestFit="1" customWidth="1"/>
    <col min="9" max="14" width="9.28515625" bestFit="1" customWidth="1"/>
    <col min="15" max="15" width="10.42578125" style="577" bestFit="1" customWidth="1"/>
    <col min="16" max="16" width="9.28515625" bestFit="1" customWidth="1"/>
    <col min="17" max="17" width="11.85546875" style="87" bestFit="1" customWidth="1"/>
    <col min="18" max="18" width="11.85546875" bestFit="1" customWidth="1"/>
    <col min="19" max="28" width="8.140625" bestFit="1" customWidth="1"/>
    <col min="29" max="29" width="11.85546875" bestFit="1" customWidth="1"/>
    <col min="30" max="30" width="10.5703125" bestFit="1" customWidth="1"/>
    <col min="31" max="31" width="9.5703125" bestFit="1" customWidth="1"/>
    <col min="32" max="32" width="8.140625" bestFit="1" customWidth="1"/>
    <col min="33" max="33" width="9.28515625" bestFit="1" customWidth="1"/>
    <col min="34" max="34" width="10.5703125" bestFit="1" customWidth="1"/>
    <col min="35" max="35" width="9.5703125" bestFit="1" customWidth="1"/>
    <col min="36" max="36" width="9.28515625" bestFit="1" customWidth="1"/>
    <col min="37" max="37" width="8.140625" bestFit="1" customWidth="1"/>
    <col min="38" max="38" width="10.5703125" bestFit="1" customWidth="1"/>
    <col min="39" max="39" width="9.5703125" bestFit="1" customWidth="1"/>
    <col min="40" max="41" width="8.140625" bestFit="1" customWidth="1"/>
    <col min="42" max="42" width="10.5703125" bestFit="1" customWidth="1"/>
    <col min="43" max="43" width="9.5703125" bestFit="1" customWidth="1"/>
    <col min="44" max="45" width="8.140625" bestFit="1" customWidth="1"/>
    <col min="46" max="46" width="10.5703125" bestFit="1" customWidth="1"/>
    <col min="47" max="47" width="9.5703125" bestFit="1" customWidth="1"/>
    <col min="48" max="49" width="8.140625" bestFit="1" customWidth="1"/>
    <col min="50" max="50" width="10.5703125" bestFit="1" customWidth="1"/>
    <col min="51" max="51" width="9.5703125" bestFit="1" customWidth="1"/>
    <col min="52" max="53" width="8.140625" bestFit="1" customWidth="1"/>
    <col min="54" max="54" width="10.5703125" bestFit="1" customWidth="1"/>
    <col min="55" max="55" width="9.5703125" bestFit="1" customWidth="1"/>
    <col min="56" max="56" width="8.140625" bestFit="1" customWidth="1"/>
    <col min="57" max="57" width="11.85546875" bestFit="1" customWidth="1"/>
    <col min="58" max="62" width="10.28515625" bestFit="1" customWidth="1"/>
    <col min="63" max="63" width="8.140625" bestFit="1" customWidth="1"/>
    <col min="64" max="64" width="11.85546875" bestFit="1" customWidth="1"/>
    <col min="65" max="93" width="10.7109375" bestFit="1" customWidth="1"/>
    <col min="94" max="94" width="8.28515625" bestFit="1" customWidth="1"/>
    <col min="95" max="124" width="10.7109375" bestFit="1" customWidth="1"/>
    <col min="125" max="125" width="8.28515625" bestFit="1" customWidth="1"/>
    <col min="126" max="156" width="10.7109375" bestFit="1" customWidth="1"/>
    <col min="157" max="157" width="8.28515625" bestFit="1" customWidth="1"/>
    <col min="158" max="187" width="10.7109375" bestFit="1" customWidth="1"/>
    <col min="188" max="188" width="8.28515625" bestFit="1" customWidth="1"/>
    <col min="189" max="219" width="10.7109375" bestFit="1" customWidth="1"/>
    <col min="220" max="220" width="8.28515625" bestFit="1" customWidth="1"/>
    <col min="221" max="251" width="10.7109375" bestFit="1" customWidth="1"/>
    <col min="252" max="252" width="8.28515625" bestFit="1" customWidth="1"/>
    <col min="253" max="282" width="10.7109375" bestFit="1" customWidth="1"/>
    <col min="283" max="283" width="8.28515625" bestFit="1" customWidth="1"/>
    <col min="284" max="314" width="10.7109375" bestFit="1" customWidth="1"/>
    <col min="315" max="315" width="8.28515625" bestFit="1" customWidth="1"/>
    <col min="316" max="345" width="10.7109375" bestFit="1" customWidth="1"/>
    <col min="346" max="346" width="8.28515625" bestFit="1" customWidth="1"/>
    <col min="347" max="377" width="10.7109375" bestFit="1" customWidth="1"/>
    <col min="378" max="378" width="8.28515625" bestFit="1" customWidth="1"/>
    <col min="379" max="379" width="12.140625" bestFit="1" customWidth="1"/>
  </cols>
  <sheetData>
    <row r="2" spans="2:19" ht="15.75" x14ac:dyDescent="0.25">
      <c r="B2" s="88" t="s">
        <v>52</v>
      </c>
      <c r="D2" s="89">
        <f>MAX('Повседневневные '!D:D)</f>
        <v>44936</v>
      </c>
      <c r="E2" s="90"/>
    </row>
    <row r="3" spans="2:19" ht="15.75" x14ac:dyDescent="0.25">
      <c r="B3" s="88" t="s">
        <v>53</v>
      </c>
      <c r="D3" s="102">
        <f>GETPIVOTDATA("Сумма ",$B$7,"Месяц","1","Годы",2023)/DAY(D2)</f>
        <v>742.4</v>
      </c>
      <c r="E3" s="91" t="str">
        <f>IF(D3&gt;D4, "Транжира", "В норме")</f>
        <v>В норме</v>
      </c>
      <c r="G3" s="344"/>
    </row>
    <row r="4" spans="2:19" ht="15.75" x14ac:dyDescent="0.25">
      <c r="B4" s="88" t="s">
        <v>54</v>
      </c>
      <c r="D4" s="102">
        <v>900</v>
      </c>
      <c r="E4" s="90"/>
    </row>
    <row r="5" spans="2:19" ht="15.75" x14ac:dyDescent="0.25">
      <c r="R5" s="90"/>
      <c r="S5" s="90"/>
    </row>
    <row r="6" spans="2:19" ht="15.75" x14ac:dyDescent="0.25"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</row>
    <row r="7" spans="2:19" x14ac:dyDescent="0.25">
      <c r="B7" s="502" t="s">
        <v>55</v>
      </c>
      <c r="C7" s="502" t="s">
        <v>56</v>
      </c>
      <c r="O7"/>
      <c r="Q7"/>
    </row>
    <row r="8" spans="2:19" x14ac:dyDescent="0.25">
      <c r="C8" s="87" t="s">
        <v>352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 t="s">
        <v>359</v>
      </c>
      <c r="P8" s="87" t="s">
        <v>353</v>
      </c>
      <c r="Q8" s="87" t="s">
        <v>360</v>
      </c>
      <c r="R8" s="87" t="s">
        <v>70</v>
      </c>
    </row>
    <row r="9" spans="2:19" x14ac:dyDescent="0.25">
      <c r="B9" s="502" t="s">
        <v>57</v>
      </c>
      <c r="C9" s="87" t="s">
        <v>58</v>
      </c>
      <c r="D9" s="87" t="s">
        <v>59</v>
      </c>
      <c r="E9" s="87" t="s">
        <v>60</v>
      </c>
      <c r="F9" s="87" t="s">
        <v>61</v>
      </c>
      <c r="G9" s="87" t="s">
        <v>62</v>
      </c>
      <c r="H9" s="87" t="s">
        <v>63</v>
      </c>
      <c r="I9" s="87" t="s">
        <v>64</v>
      </c>
      <c r="J9" s="87" t="s">
        <v>65</v>
      </c>
      <c r="K9" s="87" t="s">
        <v>66</v>
      </c>
      <c r="L9" s="87" t="s">
        <v>67</v>
      </c>
      <c r="M9" s="87" t="s">
        <v>68</v>
      </c>
      <c r="N9" s="87" t="s">
        <v>69</v>
      </c>
      <c r="O9" s="87"/>
      <c r="P9" s="87" t="s">
        <v>58</v>
      </c>
      <c r="R9" s="87"/>
    </row>
    <row r="10" spans="2:19" x14ac:dyDescent="0.25">
      <c r="B10" s="503" t="s">
        <v>27</v>
      </c>
      <c r="C10" s="103">
        <v>220</v>
      </c>
      <c r="D10" s="103">
        <v>200</v>
      </c>
      <c r="E10" s="103">
        <v>200</v>
      </c>
      <c r="F10" s="103"/>
      <c r="G10" s="103">
        <v>50</v>
      </c>
      <c r="H10" s="103">
        <v>100</v>
      </c>
      <c r="I10" s="103"/>
      <c r="J10" s="103"/>
      <c r="K10" s="103"/>
      <c r="L10" s="103"/>
      <c r="M10" s="103"/>
      <c r="N10" s="103">
        <v>1000</v>
      </c>
      <c r="O10" s="103">
        <v>1770</v>
      </c>
      <c r="P10" s="103"/>
      <c r="Q10" s="103"/>
      <c r="R10" s="103">
        <v>1770</v>
      </c>
    </row>
    <row r="11" spans="2:19" x14ac:dyDescent="0.25">
      <c r="B11" s="503" t="s">
        <v>20</v>
      </c>
      <c r="C11" s="103">
        <v>3132</v>
      </c>
      <c r="D11" s="103">
        <v>5493</v>
      </c>
      <c r="E11" s="103">
        <v>4828</v>
      </c>
      <c r="F11" s="103">
        <v>4827</v>
      </c>
      <c r="G11" s="103">
        <v>4907</v>
      </c>
      <c r="H11" s="103">
        <v>6281</v>
      </c>
      <c r="I11" s="103">
        <v>6779</v>
      </c>
      <c r="J11" s="103">
        <v>5909</v>
      </c>
      <c r="K11" s="103">
        <v>7326</v>
      </c>
      <c r="L11" s="103">
        <v>7109</v>
      </c>
      <c r="M11" s="103">
        <v>5466</v>
      </c>
      <c r="N11" s="103">
        <v>11910</v>
      </c>
      <c r="O11" s="103">
        <v>73967</v>
      </c>
      <c r="P11" s="103">
        <v>1412</v>
      </c>
      <c r="Q11" s="103">
        <v>1412</v>
      </c>
      <c r="R11" s="103">
        <v>75379</v>
      </c>
    </row>
    <row r="12" spans="2:19" x14ac:dyDescent="0.25">
      <c r="B12" s="503" t="s">
        <v>23</v>
      </c>
      <c r="C12" s="103">
        <v>390</v>
      </c>
      <c r="D12" s="103">
        <v>1376</v>
      </c>
      <c r="E12" s="103">
        <v>976</v>
      </c>
      <c r="F12" s="103">
        <v>2357</v>
      </c>
      <c r="G12" s="103">
        <v>3796</v>
      </c>
      <c r="H12" s="103">
        <v>1175</v>
      </c>
      <c r="I12" s="103">
        <v>2527</v>
      </c>
      <c r="J12" s="103">
        <v>1505</v>
      </c>
      <c r="K12" s="103">
        <v>5034</v>
      </c>
      <c r="L12" s="103">
        <v>1702</v>
      </c>
      <c r="M12" s="103">
        <v>1450</v>
      </c>
      <c r="N12" s="103">
        <v>3408</v>
      </c>
      <c r="O12" s="103">
        <v>25696</v>
      </c>
      <c r="P12" s="103">
        <v>1396</v>
      </c>
      <c r="Q12" s="103">
        <v>1396</v>
      </c>
      <c r="R12" s="103">
        <v>27092</v>
      </c>
    </row>
    <row r="13" spans="2:19" x14ac:dyDescent="0.25">
      <c r="B13" s="503" t="s">
        <v>24</v>
      </c>
      <c r="C13" s="103"/>
      <c r="D13" s="103">
        <v>792</v>
      </c>
      <c r="E13" s="103">
        <v>503</v>
      </c>
      <c r="F13" s="103"/>
      <c r="G13" s="103"/>
      <c r="H13" s="103"/>
      <c r="I13" s="103">
        <v>8000</v>
      </c>
      <c r="J13" s="103"/>
      <c r="K13" s="103"/>
      <c r="L13" s="103"/>
      <c r="M13" s="103">
        <v>550</v>
      </c>
      <c r="N13" s="103">
        <v>550</v>
      </c>
      <c r="O13" s="103">
        <v>10395</v>
      </c>
      <c r="P13" s="103"/>
      <c r="Q13" s="103"/>
      <c r="R13" s="103">
        <v>10395</v>
      </c>
    </row>
    <row r="14" spans="2:19" x14ac:dyDescent="0.25">
      <c r="B14" s="503" t="s">
        <v>30</v>
      </c>
      <c r="C14" s="103">
        <v>2628</v>
      </c>
      <c r="D14" s="103">
        <v>409</v>
      </c>
      <c r="E14" s="103">
        <v>2430</v>
      </c>
      <c r="F14" s="103">
        <v>1895</v>
      </c>
      <c r="G14" s="103">
        <v>960</v>
      </c>
      <c r="H14" s="103">
        <v>1154</v>
      </c>
      <c r="I14" s="103">
        <v>2450</v>
      </c>
      <c r="J14" s="103">
        <v>1661</v>
      </c>
      <c r="K14" s="103">
        <v>4140</v>
      </c>
      <c r="L14" s="103">
        <v>1000</v>
      </c>
      <c r="M14" s="103">
        <v>2203</v>
      </c>
      <c r="N14" s="103">
        <v>1734</v>
      </c>
      <c r="O14" s="103">
        <v>22664</v>
      </c>
      <c r="P14" s="103">
        <v>2325</v>
      </c>
      <c r="Q14" s="103">
        <v>2325</v>
      </c>
      <c r="R14" s="103">
        <v>24989</v>
      </c>
    </row>
    <row r="15" spans="2:19" x14ac:dyDescent="0.25">
      <c r="B15" s="503" t="s">
        <v>26</v>
      </c>
      <c r="C15" s="103"/>
      <c r="D15" s="103">
        <v>350</v>
      </c>
      <c r="E15" s="103">
        <v>639</v>
      </c>
      <c r="F15" s="103"/>
      <c r="G15" s="103">
        <v>210</v>
      </c>
      <c r="H15" s="103">
        <v>200</v>
      </c>
      <c r="I15" s="103">
        <v>5749</v>
      </c>
      <c r="J15" s="103">
        <v>240</v>
      </c>
      <c r="K15" s="103"/>
      <c r="L15" s="103"/>
      <c r="M15" s="103">
        <v>590</v>
      </c>
      <c r="N15" s="103">
        <v>4361</v>
      </c>
      <c r="O15" s="103">
        <v>12339</v>
      </c>
      <c r="P15" s="103">
        <v>250</v>
      </c>
      <c r="Q15" s="103">
        <v>250</v>
      </c>
      <c r="R15" s="103">
        <v>12589</v>
      </c>
    </row>
    <row r="16" spans="2:19" x14ac:dyDescent="0.25">
      <c r="B16" s="503" t="s">
        <v>22</v>
      </c>
      <c r="C16" s="103">
        <v>3363</v>
      </c>
      <c r="D16" s="103">
        <v>2237</v>
      </c>
      <c r="E16" s="103">
        <v>1808</v>
      </c>
      <c r="F16" s="103">
        <v>1627</v>
      </c>
      <c r="G16" s="103">
        <v>3764</v>
      </c>
      <c r="H16" s="103">
        <v>2476</v>
      </c>
      <c r="I16" s="103">
        <v>1989</v>
      </c>
      <c r="J16" s="103">
        <v>2540</v>
      </c>
      <c r="K16" s="103">
        <v>764</v>
      </c>
      <c r="L16" s="103">
        <v>2646</v>
      </c>
      <c r="M16" s="103">
        <v>1993</v>
      </c>
      <c r="N16" s="103">
        <v>671</v>
      </c>
      <c r="O16" s="103">
        <v>25878</v>
      </c>
      <c r="P16" s="103">
        <v>540</v>
      </c>
      <c r="Q16" s="103">
        <v>540</v>
      </c>
      <c r="R16" s="103">
        <v>26418</v>
      </c>
    </row>
    <row r="17" spans="1:20" x14ac:dyDescent="0.25">
      <c r="B17" s="503" t="s">
        <v>19</v>
      </c>
      <c r="C17" s="103">
        <v>4874</v>
      </c>
      <c r="D17" s="103">
        <v>5419</v>
      </c>
      <c r="E17" s="103">
        <v>4770</v>
      </c>
      <c r="F17" s="103">
        <v>6645</v>
      </c>
      <c r="G17" s="103">
        <v>4886</v>
      </c>
      <c r="H17" s="103">
        <v>4882</v>
      </c>
      <c r="I17" s="103">
        <v>6509</v>
      </c>
      <c r="J17" s="103">
        <v>7035</v>
      </c>
      <c r="K17" s="103">
        <v>5255</v>
      </c>
      <c r="L17" s="103">
        <v>8761</v>
      </c>
      <c r="M17" s="103">
        <v>6355</v>
      </c>
      <c r="N17" s="103">
        <v>9403</v>
      </c>
      <c r="O17" s="103">
        <v>74794</v>
      </c>
      <c r="P17" s="103">
        <v>495</v>
      </c>
      <c r="Q17" s="103">
        <v>495</v>
      </c>
      <c r="R17" s="103">
        <v>75289</v>
      </c>
    </row>
    <row r="18" spans="1:20" x14ac:dyDescent="0.25">
      <c r="B18" s="503" t="s">
        <v>29</v>
      </c>
      <c r="C18" s="103">
        <v>430</v>
      </c>
      <c r="D18" s="103">
        <v>836</v>
      </c>
      <c r="E18" s="103">
        <v>310</v>
      </c>
      <c r="F18" s="103">
        <v>430</v>
      </c>
      <c r="G18" s="103">
        <v>525</v>
      </c>
      <c r="H18" s="103">
        <v>675</v>
      </c>
      <c r="I18" s="103">
        <v>310</v>
      </c>
      <c r="J18" s="103">
        <v>790</v>
      </c>
      <c r="K18" s="103">
        <v>300</v>
      </c>
      <c r="L18" s="103">
        <v>875</v>
      </c>
      <c r="M18" s="103">
        <v>600</v>
      </c>
      <c r="N18" s="103">
        <v>600</v>
      </c>
      <c r="O18" s="103">
        <v>6681</v>
      </c>
      <c r="P18" s="103"/>
      <c r="Q18" s="103"/>
      <c r="R18" s="103">
        <v>6681</v>
      </c>
    </row>
    <row r="19" spans="1:20" x14ac:dyDescent="0.25">
      <c r="B19" s="503" t="s">
        <v>71</v>
      </c>
      <c r="C19" s="103">
        <v>2093</v>
      </c>
      <c r="D19" s="103">
        <v>2063</v>
      </c>
      <c r="E19" s="103">
        <v>1856</v>
      </c>
      <c r="F19" s="103">
        <v>2146</v>
      </c>
      <c r="G19" s="103">
        <v>2753</v>
      </c>
      <c r="H19" s="103">
        <v>3623</v>
      </c>
      <c r="I19" s="103">
        <v>4385</v>
      </c>
      <c r="J19" s="103">
        <v>2833</v>
      </c>
      <c r="K19" s="103">
        <v>3081</v>
      </c>
      <c r="L19" s="103">
        <v>1982</v>
      </c>
      <c r="M19" s="103">
        <v>3108</v>
      </c>
      <c r="N19" s="103">
        <v>3045</v>
      </c>
      <c r="O19" s="103">
        <v>32968</v>
      </c>
      <c r="P19" s="103">
        <v>1006</v>
      </c>
      <c r="Q19" s="103">
        <v>1006</v>
      </c>
      <c r="R19" s="103">
        <v>33974</v>
      </c>
    </row>
    <row r="20" spans="1:20" x14ac:dyDescent="0.25">
      <c r="B20" s="503" t="s">
        <v>72</v>
      </c>
      <c r="C20" s="103">
        <v>5084</v>
      </c>
      <c r="D20" s="103">
        <v>8236</v>
      </c>
      <c r="E20" s="103">
        <v>4935</v>
      </c>
      <c r="F20" s="103">
        <v>4704</v>
      </c>
      <c r="G20" s="103">
        <v>3609</v>
      </c>
      <c r="H20" s="103">
        <v>3373</v>
      </c>
      <c r="I20" s="103">
        <v>37920</v>
      </c>
      <c r="J20" s="103">
        <v>14020</v>
      </c>
      <c r="K20" s="103">
        <v>6627</v>
      </c>
      <c r="L20" s="103">
        <v>19440</v>
      </c>
      <c r="M20" s="103">
        <v>9836</v>
      </c>
      <c r="N20" s="103">
        <v>12460</v>
      </c>
      <c r="O20" s="103">
        <v>130244</v>
      </c>
      <c r="P20" s="103"/>
      <c r="Q20" s="103"/>
      <c r="R20" s="103">
        <v>130244</v>
      </c>
    </row>
    <row r="21" spans="1:20" x14ac:dyDescent="0.25">
      <c r="B21" s="503" t="s">
        <v>70</v>
      </c>
      <c r="C21" s="103">
        <v>22214</v>
      </c>
      <c r="D21" s="103">
        <v>27411</v>
      </c>
      <c r="E21" s="103">
        <v>23255</v>
      </c>
      <c r="F21" s="103">
        <v>24631</v>
      </c>
      <c r="G21" s="103">
        <v>25460</v>
      </c>
      <c r="H21" s="103">
        <v>23939</v>
      </c>
      <c r="I21" s="103">
        <v>76618</v>
      </c>
      <c r="J21" s="103">
        <v>36533</v>
      </c>
      <c r="K21" s="103">
        <v>32527</v>
      </c>
      <c r="L21" s="103">
        <v>43515</v>
      </c>
      <c r="M21" s="103">
        <v>32151</v>
      </c>
      <c r="N21" s="103">
        <v>49142</v>
      </c>
      <c r="O21" s="103">
        <v>417396</v>
      </c>
      <c r="P21" s="103">
        <v>7424</v>
      </c>
      <c r="Q21" s="103">
        <v>7424</v>
      </c>
      <c r="R21" s="103">
        <v>424820</v>
      </c>
    </row>
    <row r="22" spans="1:20" x14ac:dyDescent="0.25">
      <c r="Q22"/>
    </row>
    <row r="24" spans="1:20" s="562" customFormat="1" ht="15.75" x14ac:dyDescent="0.25">
      <c r="A24"/>
      <c r="B24" s="563" t="s">
        <v>362</v>
      </c>
      <c r="C24" s="564">
        <f>GETPIVOTDATA("Сумма ",$B$7,"Месяц","1","Годы",2022)/$D$56</f>
        <v>0.65614244716459258</v>
      </c>
      <c r="D24" s="564">
        <f>GETPIVOTDATA("Сумма ",$B$7,"Месяц","2","Годы",2022)/$D$56</f>
        <v>0.8096479976244102</v>
      </c>
      <c r="E24" s="564">
        <f>GETPIVOTDATA("Сумма ",$B$7,"Месяц","3","Годы",2022)/$D$56</f>
        <v>0.68689081699885657</v>
      </c>
      <c r="F24" s="564">
        <f>GETPIVOTDATA("Сумма ",$B$7,"Месяц","4","Годы",2022)/$D$56</f>
        <v>0.72753419537728825</v>
      </c>
      <c r="G24" s="564">
        <f>GETPIVOTDATA("Сумма ",$B$7,"Месяц","5","Годы",2022)/$D$56</f>
        <v>0.75202064935673574</v>
      </c>
      <c r="H24" s="564">
        <f>GETPIVOTDATA("Сумма ",$B$7,"Месяц","6","Годы",2022)/$D$56</f>
        <v>0.70709435683232114</v>
      </c>
      <c r="I24" s="564">
        <f>GETPIVOTDATA("Сумма ",$B$7,"Месяц","7","Годы",2022)/$D$56</f>
        <v>2.2630918347374069</v>
      </c>
      <c r="J24" s="564">
        <f>GETPIVOTDATA("Сумма ",$B$7,"Месяц","8","Годы",2022)/$D$56</f>
        <v>1.0790876034151464</v>
      </c>
      <c r="K24" s="564">
        <f>GETPIVOTDATA("Сумма ",$B$7,"Месяц","9","Годы",2022)/$D$56</f>
        <v>0.96076102363026483</v>
      </c>
      <c r="L24" s="564">
        <f>GETPIVOTDATA("Сумма ",$B$7,"Месяц","10","Годы",2022)/$D$56</f>
        <v>1.2853173038789614</v>
      </c>
      <c r="M24" s="564">
        <f>GETPIVOTDATA("Сумма ",$B$7,"Месяц","11","Годы",2022)/$D$56</f>
        <v>0.94965498418964689</v>
      </c>
      <c r="N24" s="564">
        <f>GETPIVOTDATA("Сумма ",$B$7,"Месяц","12","Годы",2022)/$D$56</f>
        <v>1.4515239100820387</v>
      </c>
      <c r="O24" s="564">
        <f>GETPIVOTDATA("Сумма ",$B$7,"Месяц","1","Годы",2022)/$D$56</f>
        <v>0.65614244716459258</v>
      </c>
      <c r="P24" s="564">
        <f>GETPIVOTDATA("Сумма ",$B$7,"Месяц","1","Годы",2023)/$D$56</f>
        <v>0.2192852042743286</v>
      </c>
      <c r="Q24" s="566"/>
    </row>
    <row r="25" spans="1:20" s="562" customFormat="1" ht="15.75" x14ac:dyDescent="0.25">
      <c r="A25"/>
      <c r="B25" s="565" t="s">
        <v>361</v>
      </c>
      <c r="C25" s="567">
        <f>C26/VLOOKUP($C$7,Справочник!$R$17:$T$28,3)</f>
        <v>716.58064516129036</v>
      </c>
      <c r="D25" s="567">
        <f>D26/VLOOKUP($C$7,Справочник!$R$17:$T$28,3)</f>
        <v>884.22580645161293</v>
      </c>
      <c r="E25" s="567">
        <f>E26/VLOOKUP($C$7,Справочник!$R$17:$T$28,3)</f>
        <v>750.16129032258061</v>
      </c>
      <c r="F25" s="567">
        <f>F26/VLOOKUP($C$7,Справочник!$R$17:$T$28,3)</f>
        <v>794.54838709677415</v>
      </c>
      <c r="G25" s="567">
        <f>G26/VLOOKUP($C$7,Справочник!$R$17:$T$28,3)</f>
        <v>821.29032258064512</v>
      </c>
      <c r="H25" s="567">
        <f>H26/VLOOKUP($C$7,Справочник!$R$17:$T$28,3)</f>
        <v>772.22580645161293</v>
      </c>
      <c r="I25" s="567">
        <f>I26/VLOOKUP($C$7,Справочник!$R$17:$T$28,3)</f>
        <v>2471.5483870967741</v>
      </c>
      <c r="J25" s="567">
        <f>J26/VLOOKUP($C$7,Справочник!$R$17:$T$28,3)</f>
        <v>1178.483870967742</v>
      </c>
      <c r="K25" s="567">
        <f>K26/VLOOKUP($C$7,Справочник!$R$17:$T$28,3)</f>
        <v>1049.258064516129</v>
      </c>
      <c r="L25" s="567">
        <f>L26/VLOOKUP($C$7,Справочник!$R$17:$T$28,3)</f>
        <v>1403.7096774193549</v>
      </c>
      <c r="M25" s="567">
        <f>M26/VLOOKUP($C$7,Справочник!$R$17:$T$28,3)</f>
        <v>1037.1290322580646</v>
      </c>
      <c r="N25" s="567">
        <f>N26/VLOOKUP($C$7,Справочник!$R$17:$T$28,3)</f>
        <v>1585.2258064516129</v>
      </c>
      <c r="O25" s="567">
        <f>O26/VLOOKUP($C$7,Справочник!$R$17:$T$28,3)</f>
        <v>13464.387096774193</v>
      </c>
      <c r="P25" s="567">
        <f>P26/VLOOKUP($C$7,Справочник!$R$17:$T$28,3)</f>
        <v>239.48387096774192</v>
      </c>
      <c r="Q25" s="567">
        <f>Q26/VLOOKUP($C$7,Справочник!$R$17:$T$28,3)</f>
        <v>239.48387096774192</v>
      </c>
    </row>
    <row r="26" spans="1:20" s="93" customFormat="1" ht="15.75" x14ac:dyDescent="0.25">
      <c r="A26" s="92"/>
      <c r="B26" s="560" t="s">
        <v>73</v>
      </c>
      <c r="C26" s="561">
        <f>GETPIVOTDATA("Сумма ",$B$7,"Месяц","1","Годы",2022)</f>
        <v>22214</v>
      </c>
      <c r="D26" s="561">
        <f>GETPIVOTDATA("Сумма ",$B$7,"Месяц","2","Годы",2022)</f>
        <v>27411</v>
      </c>
      <c r="E26" s="561">
        <f>GETPIVOTDATA("Сумма ",$B$7,"Месяц","3","Годы",2022)</f>
        <v>23255</v>
      </c>
      <c r="F26" s="561">
        <f>GETPIVOTDATA("Сумма ",$B$7,"Месяц","4","Годы",2022)</f>
        <v>24631</v>
      </c>
      <c r="G26" s="561">
        <f>GETPIVOTDATA("Сумма ",$B$7,"Месяц","5","Годы",2022)</f>
        <v>25460</v>
      </c>
      <c r="H26" s="561">
        <f>GETPIVOTDATA("Сумма ",$B$7,"Месяц","6","Годы",2022)</f>
        <v>23939</v>
      </c>
      <c r="I26" s="561">
        <f>GETPIVOTDATA("Сумма ",$B$7,"Месяц","7","Годы",2022)</f>
        <v>76618</v>
      </c>
      <c r="J26" s="561">
        <f>GETPIVOTDATA("Сумма ",$B$7,"Месяц","8","Годы",2022)</f>
        <v>36533</v>
      </c>
      <c r="K26" s="561">
        <f>GETPIVOTDATA("Сумма ",$B$7,"Месяц","9","Годы",2022)</f>
        <v>32527</v>
      </c>
      <c r="L26" s="561">
        <f>GETPIVOTDATA("Сумма ",$B$7,"Месяц","10","Годы",2022)</f>
        <v>43515</v>
      </c>
      <c r="M26" s="561">
        <f>GETPIVOTDATA("Сумма ",$B$7,"Месяц","11","Годы",2022)</f>
        <v>32151</v>
      </c>
      <c r="N26" s="561">
        <f>GETPIVOTDATA("Сумма ",$B$7,"Месяц","12","Годы",2022)</f>
        <v>49142</v>
      </c>
      <c r="O26" s="561">
        <f>GETPIVOTDATA("Сумма ",$B$7,"Годы",2022)</f>
        <v>417396</v>
      </c>
      <c r="P26" s="561">
        <f>GETPIVOTDATA("Сумма ",$B$7,"Месяц","1","Годы",2023)</f>
        <v>7424</v>
      </c>
      <c r="Q26" s="561">
        <f>GETPIVOTDATA("Сумма ",$B$7,"Месяц","1","Годы",2023)</f>
        <v>7424</v>
      </c>
    </row>
    <row r="28" spans="1:20" s="94" customFormat="1" ht="15.75" x14ac:dyDescent="0.25">
      <c r="A28" s="90"/>
      <c r="B28" s="95" t="s">
        <v>74</v>
      </c>
      <c r="C28" s="96">
        <f>GETPIVOTDATA("Сумма ",$B$7,"Месяц","1","Годы",2022)</f>
        <v>22214</v>
      </c>
      <c r="D28" s="96">
        <f>GETPIVOTDATA("Сумма ",$B$7,"Месяц","2")</f>
        <v>27411</v>
      </c>
      <c r="E28" s="96">
        <f>GETPIVOTDATA("Сумма ",$B$7,"Месяц","3")</f>
        <v>23255</v>
      </c>
      <c r="F28" s="96">
        <f>GETPIVOTDATA("Сумма ",$B$7,"Месяц","4")</f>
        <v>24631</v>
      </c>
      <c r="G28" s="96">
        <f>GETPIVOTDATA("Сумма ",$B$7,"Месяц","5")</f>
        <v>25460</v>
      </c>
      <c r="H28" s="96">
        <f>GETPIVOTDATA("Сумма ",$B$7,"Месяц","6")</f>
        <v>23939</v>
      </c>
      <c r="I28" s="96">
        <f>GETPIVOTDATA("Сумма ",$B$7,"Месяц","7")</f>
        <v>76618</v>
      </c>
      <c r="J28" s="96">
        <f>GETPIVOTDATA("Сумма ",$B$7,"Месяц","8")</f>
        <v>36533</v>
      </c>
      <c r="K28" s="96">
        <f>GETPIVOTDATA("Сумма ",$B$7,"Месяц","9")</f>
        <v>32527</v>
      </c>
      <c r="L28" s="96">
        <f>GETPIVOTDATA("Сумма ",$B$7,"Месяц","10")</f>
        <v>43515</v>
      </c>
      <c r="M28" s="96">
        <f>GETPIVOTDATA("Сумма ",$B$7,"Месяц","11")</f>
        <v>32151</v>
      </c>
      <c r="N28" s="96">
        <f>GETPIVOTDATA("Сумма ",$B$7,"Месяц","12")</f>
        <v>49142</v>
      </c>
      <c r="O28" s="579">
        <f>SUM(C28:N28)</f>
        <v>417396</v>
      </c>
      <c r="P28" s="96">
        <f>GETPIVOTDATA("Сумма ",$B$7,"Месяц","1","Годы",2023)</f>
        <v>7424</v>
      </c>
      <c r="Q28" s="97"/>
    </row>
    <row r="29" spans="1:20" s="94" customFormat="1" ht="15.75" x14ac:dyDescent="0.25">
      <c r="A29" s="90"/>
      <c r="B29" s="98" t="s">
        <v>75</v>
      </c>
      <c r="C29" s="96">
        <f>SUMIF(Квартира!$B:$B,График!C9&amp;"-22",Квартира!$F:$F)</f>
        <v>11498</v>
      </c>
      <c r="D29" s="96">
        <f>SUMIF(Квартира!$B:$B,График!D9&amp;"-22",Квартира!$F:$F)</f>
        <v>10324</v>
      </c>
      <c r="E29" s="96">
        <f>SUMIF(Квартира!$B:$B,График!E9&amp;"-22",Квартира!$F:$F)</f>
        <v>11361</v>
      </c>
      <c r="F29" s="96">
        <f>SUMIF(Квартира!$B:$B,График!F9&amp;"-22",Квартира!$F:$F)</f>
        <v>11712</v>
      </c>
      <c r="G29" s="96">
        <f>SUMIF(Квартира!$B:$B,График!G9&amp;"-22",Квартира!$F:$F)</f>
        <v>11540</v>
      </c>
      <c r="H29" s="96">
        <f>SUMIF(Квартира!$B:$B,График!H9&amp;"-22",Квартира!$F:$F)</f>
        <v>10640</v>
      </c>
      <c r="I29" s="96">
        <f>SUMIF(Квартира!$B:$B,График!I9&amp;"-22",Квартира!$F:$F)</f>
        <v>10255</v>
      </c>
      <c r="J29" s="96">
        <f>SUMIF(Квартира!$B:$B,График!J9&amp;"-22",Квартира!$F:$F)</f>
        <v>11267</v>
      </c>
      <c r="K29" s="96">
        <f>SUMIF(Квартира!$B:$B,График!K9&amp;"-22",Квартира!$F:$F)</f>
        <v>10471</v>
      </c>
      <c r="L29" s="96">
        <f>SUMIF(Квартира!$B:$B,График!L9&amp;"-22",Квартира!$F:$F)</f>
        <v>11241</v>
      </c>
      <c r="M29" s="96">
        <f>SUMIF(Квартира!$B:$B,График!M9&amp;"-22",Квартира!$F:$F)</f>
        <v>12299.5</v>
      </c>
      <c r="N29" s="96">
        <f>SUMIF(Квартира!$B:$B,График!N9&amp;"-22",Квартира!$F:$F)</f>
        <v>11735</v>
      </c>
      <c r="O29" s="579">
        <f>SUM(C29:N29)</f>
        <v>134343.5</v>
      </c>
      <c r="P29" s="96">
        <f ca="1">SUMIF(Квартира!$B:$C,График!P9&amp;"-23",Квартира!$F:$F)</f>
        <v>11682</v>
      </c>
      <c r="Q29" s="97"/>
    </row>
    <row r="30" spans="1:20" s="94" customFormat="1" ht="15.75" x14ac:dyDescent="0.25">
      <c r="A30" s="90"/>
      <c r="B30" s="99" t="s">
        <v>371</v>
      </c>
      <c r="C30" s="96">
        <v>0</v>
      </c>
      <c r="D30" s="96">
        <v>0</v>
      </c>
      <c r="E30" s="96">
        <v>0</v>
      </c>
      <c r="F30" s="96">
        <v>0</v>
      </c>
      <c r="G30" s="96">
        <v>0</v>
      </c>
      <c r="H30" s="96">
        <v>0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579">
        <f t="shared" ref="O30:O31" si="0">SUM(C30:N30)</f>
        <v>0</v>
      </c>
      <c r="P30" s="96">
        <f ca="1">SUMIF('Крупные. Цели'!$B:$C,График!P9,'Крупные. Цели'!E:E)</f>
        <v>5000</v>
      </c>
      <c r="Q30" s="97"/>
      <c r="R30" s="97"/>
      <c r="S30" s="97"/>
      <c r="T30" s="97"/>
    </row>
    <row r="31" spans="1:20" s="94" customFormat="1" ht="15.75" x14ac:dyDescent="0.25">
      <c r="A31" s="90"/>
      <c r="B31" s="576" t="s">
        <v>72</v>
      </c>
      <c r="C31" s="96">
        <v>0</v>
      </c>
      <c r="D31" s="96">
        <v>0</v>
      </c>
      <c r="E31" s="96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579">
        <f t="shared" si="0"/>
        <v>0</v>
      </c>
      <c r="P31" s="96">
        <f ca="1">SUMIF('Крупные. Цели'!$H:$I,График!P9,'Крупные. Цели'!$K:$K)</f>
        <v>300</v>
      </c>
      <c r="Q31" s="97"/>
      <c r="R31" s="97"/>
      <c r="S31" s="97"/>
      <c r="T31" s="97"/>
    </row>
    <row r="32" spans="1:20" s="94" customFormat="1" ht="15.75" x14ac:dyDescent="0.25">
      <c r="A32" s="90"/>
      <c r="B32" s="100" t="s">
        <v>76</v>
      </c>
      <c r="C32" s="96">
        <f>SUM(C28:C31)</f>
        <v>33712</v>
      </c>
      <c r="D32" s="96">
        <f>SUM(D28:D31)</f>
        <v>37735</v>
      </c>
      <c r="E32" s="96">
        <f t="shared" ref="E32:N32" si="1">SUM(E28:E31)</f>
        <v>34616</v>
      </c>
      <c r="F32" s="96">
        <f t="shared" si="1"/>
        <v>36343</v>
      </c>
      <c r="G32" s="96">
        <f t="shared" si="1"/>
        <v>37000</v>
      </c>
      <c r="H32" s="96">
        <f t="shared" si="1"/>
        <v>34579</v>
      </c>
      <c r="I32" s="96">
        <f t="shared" si="1"/>
        <v>86873</v>
      </c>
      <c r="J32" s="96">
        <f t="shared" si="1"/>
        <v>47800</v>
      </c>
      <c r="K32" s="96">
        <f t="shared" si="1"/>
        <v>42998</v>
      </c>
      <c r="L32" s="96">
        <f t="shared" si="1"/>
        <v>54756</v>
      </c>
      <c r="M32" s="96">
        <f t="shared" si="1"/>
        <v>44450.5</v>
      </c>
      <c r="N32" s="96">
        <f t="shared" si="1"/>
        <v>60877</v>
      </c>
      <c r="O32" s="579">
        <f>SUM(O28:O31)</f>
        <v>551739.5</v>
      </c>
      <c r="P32" s="96">
        <f ca="1">SUM(P28:P30)</f>
        <v>24106</v>
      </c>
      <c r="Q32" s="97"/>
      <c r="R32" s="97"/>
      <c r="S32" s="97"/>
      <c r="T32" s="97"/>
    </row>
    <row r="33" spans="1:20" s="94" customFormat="1" ht="15.75" x14ac:dyDescent="0.25">
      <c r="A33" s="90"/>
      <c r="B33" s="100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579"/>
      <c r="P33" s="96"/>
      <c r="Q33" s="97"/>
      <c r="R33" s="97"/>
      <c r="S33" s="97"/>
      <c r="T33" s="97"/>
    </row>
    <row r="34" spans="1:20" s="90" customFormat="1" ht="15.75" x14ac:dyDescent="0.25">
      <c r="O34" s="580"/>
      <c r="Q34" s="101"/>
    </row>
    <row r="35" spans="1:20" s="94" customFormat="1" ht="15.75" x14ac:dyDescent="0.25">
      <c r="A35" s="90"/>
      <c r="B35" s="98" t="s">
        <v>75</v>
      </c>
      <c r="C35" s="96">
        <f ca="1">SUMIF(Квартира!$B:$C,График!C9,Квартира!$F:$F)</f>
        <v>0</v>
      </c>
      <c r="D35" s="96">
        <f ca="1">SUMIF(Квартира!$B:$C,График!D9,Квартира!$F:$F)</f>
        <v>0</v>
      </c>
      <c r="E35" s="96">
        <f ca="1">SUMIF(Квартира!$B:$C,График!E9,Квартира!$F:$F)</f>
        <v>0</v>
      </c>
      <c r="F35" s="96">
        <f ca="1">SUMIF(Квартира!$B:$C,График!F9,Квартира!$F:$F)</f>
        <v>0</v>
      </c>
      <c r="G35" s="96">
        <f ca="1">SUMIF(Квартира!$B:$C,График!G9,Квартира!$F:$F)</f>
        <v>0</v>
      </c>
      <c r="H35" s="96">
        <f ca="1">SUMIF(Квартира!$B:$C,График!H9,Квартира!$F:$F)</f>
        <v>0</v>
      </c>
      <c r="I35" s="96">
        <f ca="1">SUMIF(Квартира!$B:$C,График!I9,Квартира!$F:$F)</f>
        <v>0</v>
      </c>
      <c r="J35" s="96">
        <f ca="1">SUMIF(Квартира!$B:$C,График!J9,Квартира!$F:$F)</f>
        <v>0</v>
      </c>
      <c r="K35" s="96">
        <f ca="1">SUMIF(Квартира!$B:$C,График!K9,Квартира!$F:$F)</f>
        <v>0</v>
      </c>
      <c r="L35" s="96">
        <f ca="1">SUMIF(Квартира!$B:$C,График!L9,Квартира!$F:$F)</f>
        <v>0</v>
      </c>
      <c r="M35" s="96">
        <f ca="1">SUMIF(Квартира!$B:$C,График!M9,Квартира!$F:$F)</f>
        <v>0</v>
      </c>
      <c r="N35" s="96">
        <f ca="1">SUMIF(Квартира!$B:$C,График!N9,Квартира!$F:$F)</f>
        <v>0</v>
      </c>
      <c r="O35" s="579">
        <f ca="1">SUM(C35:N35)</f>
        <v>0</v>
      </c>
      <c r="P35" s="96">
        <f ca="1">SUMIF(Квартира!$B:$C,График!P15,Квартира!$F:$F)</f>
        <v>0</v>
      </c>
      <c r="Q35" s="97"/>
    </row>
    <row r="37" spans="1:20" x14ac:dyDescent="0.25">
      <c r="B37" s="502" t="s">
        <v>342</v>
      </c>
      <c r="C37" s="502" t="s">
        <v>56</v>
      </c>
      <c r="Q37"/>
    </row>
    <row r="38" spans="1:20" x14ac:dyDescent="0.25">
      <c r="C38" t="s">
        <v>352</v>
      </c>
      <c r="O38" s="577" t="s">
        <v>359</v>
      </c>
      <c r="P38" t="s">
        <v>353</v>
      </c>
      <c r="Q38" s="570" t="s">
        <v>70</v>
      </c>
    </row>
    <row r="39" spans="1:20" x14ac:dyDescent="0.25">
      <c r="B39" s="502" t="s">
        <v>320</v>
      </c>
      <c r="C39" s="87" t="s">
        <v>58</v>
      </c>
      <c r="D39" s="87" t="s">
        <v>59</v>
      </c>
      <c r="E39" s="87" t="s">
        <v>60</v>
      </c>
      <c r="F39" s="87" t="s">
        <v>61</v>
      </c>
      <c r="G39" s="87" t="s">
        <v>62</v>
      </c>
      <c r="H39" s="87" t="s">
        <v>63</v>
      </c>
      <c r="I39" s="87" t="s">
        <v>64</v>
      </c>
      <c r="J39" s="87" t="s">
        <v>65</v>
      </c>
      <c r="K39" s="87" t="s">
        <v>66</v>
      </c>
      <c r="L39" s="87" t="s">
        <v>67</v>
      </c>
      <c r="M39" s="87" t="s">
        <v>68</v>
      </c>
      <c r="N39" s="87" t="s">
        <v>69</v>
      </c>
      <c r="Q39" s="570"/>
    </row>
    <row r="40" spans="1:20" x14ac:dyDescent="0.25">
      <c r="B40" s="503" t="s">
        <v>183</v>
      </c>
      <c r="C40" s="103">
        <v>10713</v>
      </c>
      <c r="D40" s="103">
        <v>19503</v>
      </c>
      <c r="E40" s="103">
        <v>17029</v>
      </c>
      <c r="F40" s="103">
        <v>21750</v>
      </c>
      <c r="G40" s="103">
        <v>18887</v>
      </c>
      <c r="H40" s="103">
        <v>18971</v>
      </c>
      <c r="I40" s="103">
        <v>31178</v>
      </c>
      <c r="J40" s="103">
        <v>12535</v>
      </c>
      <c r="K40" s="103">
        <v>12235</v>
      </c>
      <c r="L40" s="103">
        <v>13105</v>
      </c>
      <c r="M40" s="103">
        <v>13728</v>
      </c>
      <c r="N40" s="103">
        <v>13497</v>
      </c>
      <c r="O40" s="578">
        <v>203131</v>
      </c>
      <c r="P40" s="103"/>
      <c r="Q40" s="103">
        <v>203131</v>
      </c>
    </row>
    <row r="41" spans="1:20" x14ac:dyDescent="0.25">
      <c r="B41" s="503" t="s">
        <v>184</v>
      </c>
      <c r="C41" s="103">
        <v>10677</v>
      </c>
      <c r="D41" s="103">
        <v>9326</v>
      </c>
      <c r="E41" s="103">
        <v>11500</v>
      </c>
      <c r="F41" s="103">
        <v>12776</v>
      </c>
      <c r="G41" s="103">
        <v>8797</v>
      </c>
      <c r="H41" s="103">
        <v>11057</v>
      </c>
      <c r="I41" s="103">
        <v>12472</v>
      </c>
      <c r="J41" s="103">
        <v>12534</v>
      </c>
      <c r="K41" s="103">
        <v>13105</v>
      </c>
      <c r="L41" s="103">
        <v>24855</v>
      </c>
      <c r="M41" s="103">
        <v>24855</v>
      </c>
      <c r="N41" s="103">
        <v>21978</v>
      </c>
      <c r="O41" s="578">
        <v>173932</v>
      </c>
      <c r="P41" s="103"/>
      <c r="Q41" s="103">
        <v>173932</v>
      </c>
    </row>
    <row r="42" spans="1:20" x14ac:dyDescent="0.25">
      <c r="B42" s="503" t="s">
        <v>185</v>
      </c>
      <c r="C42" s="103"/>
      <c r="D42" s="103"/>
      <c r="E42" s="103"/>
      <c r="F42" s="103"/>
      <c r="G42" s="103"/>
      <c r="H42" s="103"/>
      <c r="I42" s="103"/>
      <c r="J42" s="103">
        <v>26575</v>
      </c>
      <c r="K42" s="103">
        <v>24855</v>
      </c>
      <c r="L42" s="103">
        <v>12481</v>
      </c>
      <c r="M42" s="103"/>
      <c r="N42" s="103">
        <v>25515</v>
      </c>
      <c r="O42" s="578">
        <v>89426</v>
      </c>
      <c r="P42" s="103"/>
      <c r="Q42" s="103">
        <v>89426</v>
      </c>
    </row>
    <row r="43" spans="1:20" x14ac:dyDescent="0.25">
      <c r="B43" s="503" t="s">
        <v>192</v>
      </c>
      <c r="C43" s="103"/>
      <c r="D43" s="103"/>
      <c r="E43" s="103"/>
      <c r="F43" s="103"/>
      <c r="G43" s="103"/>
      <c r="H43" s="103"/>
      <c r="I43" s="103">
        <v>64572</v>
      </c>
      <c r="J43" s="103"/>
      <c r="K43" s="103"/>
      <c r="L43" s="103"/>
      <c r="M43" s="103"/>
      <c r="N43" s="103"/>
      <c r="O43" s="578">
        <v>64572</v>
      </c>
      <c r="P43" s="103"/>
      <c r="Q43" s="103">
        <v>64572</v>
      </c>
    </row>
    <row r="44" spans="1:20" x14ac:dyDescent="0.25">
      <c r="B44" s="503" t="s">
        <v>191</v>
      </c>
      <c r="C44" s="103"/>
      <c r="D44" s="103">
        <v>22000</v>
      </c>
      <c r="E44" s="103">
        <v>2000</v>
      </c>
      <c r="F44" s="103">
        <v>2248</v>
      </c>
      <c r="G44" s="103">
        <v>8750</v>
      </c>
      <c r="H44" s="103">
        <v>1400</v>
      </c>
      <c r="I44" s="103"/>
      <c r="J44" s="103"/>
      <c r="K44" s="103"/>
      <c r="L44" s="103"/>
      <c r="M44" s="103"/>
      <c r="N44" s="103">
        <v>10000</v>
      </c>
      <c r="O44" s="578">
        <v>46398</v>
      </c>
      <c r="P44" s="103">
        <v>8632</v>
      </c>
      <c r="Q44" s="103">
        <v>55030</v>
      </c>
    </row>
    <row r="45" spans="1:20" x14ac:dyDescent="0.25">
      <c r="B45" s="503" t="s">
        <v>37</v>
      </c>
      <c r="C45" s="103"/>
      <c r="D45" s="103">
        <v>4080</v>
      </c>
      <c r="E45" s="103"/>
      <c r="F45" s="103"/>
      <c r="G45" s="103"/>
      <c r="H45" s="103">
        <v>2040</v>
      </c>
      <c r="I45" s="103"/>
      <c r="J45" s="103"/>
      <c r="K45" s="103"/>
      <c r="L45" s="103"/>
      <c r="M45" s="103"/>
      <c r="N45" s="103"/>
      <c r="O45" s="578">
        <v>6120</v>
      </c>
      <c r="P45" s="103"/>
      <c r="Q45" s="103">
        <v>6120</v>
      </c>
    </row>
    <row r="46" spans="1:20" x14ac:dyDescent="0.25">
      <c r="B46" s="503" t="s">
        <v>190</v>
      </c>
      <c r="C46" s="103">
        <v>2200</v>
      </c>
      <c r="D46" s="103">
        <v>2000</v>
      </c>
      <c r="E46" s="103">
        <v>415</v>
      </c>
      <c r="F46" s="103"/>
      <c r="G46" s="103">
        <v>550</v>
      </c>
      <c r="H46" s="103">
        <v>2300</v>
      </c>
      <c r="I46" s="103">
        <v>1050</v>
      </c>
      <c r="J46" s="103"/>
      <c r="K46" s="103"/>
      <c r="L46" s="103">
        <v>500</v>
      </c>
      <c r="M46" s="103"/>
      <c r="N46" s="103"/>
      <c r="O46" s="578">
        <v>9015</v>
      </c>
      <c r="P46" s="103"/>
      <c r="Q46" s="103">
        <v>9015</v>
      </c>
    </row>
    <row r="47" spans="1:20" x14ac:dyDescent="0.25">
      <c r="B47" s="503" t="s">
        <v>70</v>
      </c>
      <c r="C47" s="103">
        <v>23590</v>
      </c>
      <c r="D47" s="103">
        <v>56909</v>
      </c>
      <c r="E47" s="103">
        <v>30944</v>
      </c>
      <c r="F47" s="103">
        <v>36774</v>
      </c>
      <c r="G47" s="103">
        <v>36984</v>
      </c>
      <c r="H47" s="103">
        <v>35768</v>
      </c>
      <c r="I47" s="103">
        <v>109272</v>
      </c>
      <c r="J47" s="103">
        <v>51644</v>
      </c>
      <c r="K47" s="103">
        <v>50195</v>
      </c>
      <c r="L47" s="103">
        <v>50941</v>
      </c>
      <c r="M47" s="103">
        <v>38583</v>
      </c>
      <c r="N47" s="103">
        <v>70990</v>
      </c>
      <c r="O47" s="578">
        <v>592594</v>
      </c>
      <c r="P47" s="103">
        <v>8632</v>
      </c>
      <c r="Q47" s="103">
        <v>601226</v>
      </c>
    </row>
    <row r="48" spans="1:20" x14ac:dyDescent="0.25">
      <c r="Q48"/>
    </row>
    <row r="49" spans="2:17" x14ac:dyDescent="0.25">
      <c r="Q49"/>
    </row>
    <row r="50" spans="2:17" x14ac:dyDescent="0.25">
      <c r="Q50"/>
    </row>
    <row r="54" spans="2:17" ht="15.75" x14ac:dyDescent="0.25">
      <c r="B54" s="88" t="s">
        <v>77</v>
      </c>
      <c r="C54" s="87"/>
      <c r="D54" s="101">
        <f>(MAX('Повседневневные '!D:D)-'Повседневневные '!D2)+1</f>
        <v>375</v>
      </c>
      <c r="E54" s="101"/>
    </row>
    <row r="55" spans="2:17" ht="15.75" x14ac:dyDescent="0.25">
      <c r="B55" s="88" t="s">
        <v>78</v>
      </c>
      <c r="C55" s="87"/>
      <c r="D55" s="102">
        <f>D58/D54</f>
        <v>1113.056</v>
      </c>
      <c r="E55" s="102"/>
    </row>
    <row r="56" spans="2:17" ht="15.75" x14ac:dyDescent="0.25">
      <c r="B56" s="88" t="s">
        <v>79</v>
      </c>
      <c r="C56" s="87"/>
      <c r="D56" s="104">
        <f>D55*AVERAGE(Справочник!T17:T28)</f>
        <v>33855.453333333338</v>
      </c>
      <c r="E56" s="105"/>
    </row>
    <row r="57" spans="2:17" ht="15.75" x14ac:dyDescent="0.25">
      <c r="B57" s="88"/>
      <c r="C57" s="87"/>
      <c r="D57" s="105"/>
      <c r="E57" s="105"/>
    </row>
    <row r="58" spans="2:17" ht="15.75" x14ac:dyDescent="0.25">
      <c r="B58" s="88" t="s">
        <v>80</v>
      </c>
      <c r="C58" s="101"/>
      <c r="D58" s="102">
        <f>C76</f>
        <v>417396</v>
      </c>
      <c r="E58" s="102"/>
    </row>
    <row r="59" spans="2:17" ht="15.75" x14ac:dyDescent="0.25">
      <c r="B59" s="88" t="s">
        <v>81</v>
      </c>
      <c r="C59" s="101"/>
      <c r="D59" s="102">
        <f>F76</f>
        <v>134343.5</v>
      </c>
      <c r="E59" s="102"/>
    </row>
    <row r="60" spans="2:17" ht="15.75" x14ac:dyDescent="0.25">
      <c r="B60" s="88" t="s">
        <v>82</v>
      </c>
      <c r="C60" s="101"/>
      <c r="D60" s="102"/>
      <c r="E60" s="102"/>
    </row>
    <row r="61" spans="2:17" ht="15.75" x14ac:dyDescent="0.25">
      <c r="B61" s="88" t="s">
        <v>83</v>
      </c>
      <c r="C61" s="87"/>
      <c r="D61" s="102">
        <f>G76</f>
        <v>551739.5</v>
      </c>
      <c r="E61" s="102"/>
    </row>
    <row r="62" spans="2:17" ht="15.75" x14ac:dyDescent="0.25">
      <c r="B62" s="88"/>
      <c r="C62" s="87"/>
      <c r="D62" s="102"/>
      <c r="E62" s="102"/>
    </row>
    <row r="63" spans="2:17" ht="15.75" x14ac:dyDescent="0.25">
      <c r="B63" s="106" t="s">
        <v>56</v>
      </c>
      <c r="C63" s="106" t="s">
        <v>74</v>
      </c>
      <c r="D63" s="106" t="s">
        <v>72</v>
      </c>
      <c r="E63" s="106" t="s">
        <v>369</v>
      </c>
      <c r="F63" s="107" t="s">
        <v>75</v>
      </c>
      <c r="G63" s="108" t="s">
        <v>84</v>
      </c>
      <c r="H63" s="106" t="s">
        <v>33</v>
      </c>
    </row>
    <row r="64" spans="2:17" x14ac:dyDescent="0.25">
      <c r="B64" s="109" t="s">
        <v>0</v>
      </c>
      <c r="C64" s="110">
        <f t="array" ref="C64:C75">TRANSPOSE(C21:N21)</f>
        <v>22214</v>
      </c>
      <c r="D64" s="111"/>
      <c r="E64" s="111"/>
      <c r="F64" s="110">
        <f t="array" ref="F64:F75">TRANSPOSE(C29:P29)</f>
        <v>11498</v>
      </c>
      <c r="G64" s="112">
        <f t="shared" ref="G64:G75" si="2">SUM(C64:F64)</f>
        <v>33712</v>
      </c>
      <c r="H64" s="113">
        <f t="array" ref="H64:H75">TRANSPOSE(C47:N47)</f>
        <v>23590</v>
      </c>
    </row>
    <row r="65" spans="2:9" x14ac:dyDescent="0.25">
      <c r="B65" s="114" t="s">
        <v>1</v>
      </c>
      <c r="C65" s="115">
        <v>27411</v>
      </c>
      <c r="D65" s="116"/>
      <c r="E65" s="116"/>
      <c r="F65" s="115">
        <v>10324</v>
      </c>
      <c r="G65" s="112">
        <f t="shared" si="2"/>
        <v>37735</v>
      </c>
      <c r="H65" s="117">
        <v>56909</v>
      </c>
    </row>
    <row r="66" spans="2:9" x14ac:dyDescent="0.25">
      <c r="B66" s="109" t="s">
        <v>2</v>
      </c>
      <c r="C66" s="110">
        <v>23255</v>
      </c>
      <c r="D66" s="111"/>
      <c r="E66" s="111"/>
      <c r="F66" s="110">
        <v>11361</v>
      </c>
      <c r="G66" s="112">
        <f t="shared" si="2"/>
        <v>34616</v>
      </c>
      <c r="H66" s="113">
        <v>30944</v>
      </c>
    </row>
    <row r="67" spans="2:9" x14ac:dyDescent="0.25">
      <c r="B67" s="114" t="s">
        <v>3</v>
      </c>
      <c r="C67" s="115">
        <v>24631</v>
      </c>
      <c r="D67" s="116"/>
      <c r="E67" s="116"/>
      <c r="F67" s="115">
        <v>11712</v>
      </c>
      <c r="G67" s="112">
        <f t="shared" si="2"/>
        <v>36343</v>
      </c>
      <c r="H67" s="117">
        <v>36774</v>
      </c>
    </row>
    <row r="68" spans="2:9" x14ac:dyDescent="0.25">
      <c r="B68" s="109" t="s">
        <v>4</v>
      </c>
      <c r="C68" s="110">
        <v>25460</v>
      </c>
      <c r="D68" s="111"/>
      <c r="E68" s="111"/>
      <c r="F68" s="110">
        <v>11540</v>
      </c>
      <c r="G68" s="112">
        <f t="shared" si="2"/>
        <v>37000</v>
      </c>
      <c r="H68" s="113">
        <v>36984</v>
      </c>
    </row>
    <row r="69" spans="2:9" x14ac:dyDescent="0.25">
      <c r="B69" s="114" t="s">
        <v>5</v>
      </c>
      <c r="C69" s="115">
        <v>23939</v>
      </c>
      <c r="D69" s="116"/>
      <c r="E69" s="116"/>
      <c r="F69" s="115">
        <v>10640</v>
      </c>
      <c r="G69" s="112">
        <f t="shared" si="2"/>
        <v>34579</v>
      </c>
      <c r="H69" s="117">
        <v>35768</v>
      </c>
    </row>
    <row r="70" spans="2:9" x14ac:dyDescent="0.25">
      <c r="B70" s="109" t="s">
        <v>6</v>
      </c>
      <c r="C70" s="110">
        <v>76618</v>
      </c>
      <c r="D70" s="111"/>
      <c r="E70" s="111"/>
      <c r="F70" s="110">
        <v>10255</v>
      </c>
      <c r="G70" s="112">
        <f t="shared" si="2"/>
        <v>86873</v>
      </c>
      <c r="H70" s="113">
        <v>109272</v>
      </c>
    </row>
    <row r="71" spans="2:9" x14ac:dyDescent="0.25">
      <c r="B71" s="114" t="s">
        <v>7</v>
      </c>
      <c r="C71" s="115">
        <v>36533</v>
      </c>
      <c r="D71" s="116"/>
      <c r="E71" s="116"/>
      <c r="F71" s="115">
        <v>11267</v>
      </c>
      <c r="G71" s="112">
        <f t="shared" si="2"/>
        <v>47800</v>
      </c>
      <c r="H71" s="117">
        <v>51644</v>
      </c>
    </row>
    <row r="72" spans="2:9" x14ac:dyDescent="0.25">
      <c r="B72" s="109" t="s">
        <v>8</v>
      </c>
      <c r="C72" s="110">
        <v>32527</v>
      </c>
      <c r="D72" s="111"/>
      <c r="E72" s="111"/>
      <c r="F72" s="110">
        <v>10471</v>
      </c>
      <c r="G72" s="112">
        <f t="shared" si="2"/>
        <v>42998</v>
      </c>
      <c r="H72" s="113">
        <v>50195</v>
      </c>
    </row>
    <row r="73" spans="2:9" x14ac:dyDescent="0.25">
      <c r="B73" s="114" t="s">
        <v>9</v>
      </c>
      <c r="C73" s="115">
        <v>43515</v>
      </c>
      <c r="D73" s="116"/>
      <c r="E73" s="116"/>
      <c r="F73" s="115">
        <v>11241</v>
      </c>
      <c r="G73" s="112">
        <f t="shared" si="2"/>
        <v>54756</v>
      </c>
      <c r="H73" s="117">
        <v>50941</v>
      </c>
    </row>
    <row r="74" spans="2:9" x14ac:dyDescent="0.25">
      <c r="B74" s="109" t="s">
        <v>10</v>
      </c>
      <c r="C74" s="110">
        <v>32151</v>
      </c>
      <c r="D74" s="111"/>
      <c r="E74" s="111"/>
      <c r="F74" s="110">
        <v>12299.5</v>
      </c>
      <c r="G74" s="112">
        <f t="shared" si="2"/>
        <v>44450.5</v>
      </c>
      <c r="H74" s="113">
        <v>38583</v>
      </c>
    </row>
    <row r="75" spans="2:9" x14ac:dyDescent="0.25">
      <c r="B75" s="114" t="s">
        <v>11</v>
      </c>
      <c r="C75" s="115">
        <v>49142</v>
      </c>
      <c r="D75" s="116"/>
      <c r="E75" s="116"/>
      <c r="F75" s="115">
        <v>11735</v>
      </c>
      <c r="G75" s="112">
        <f t="shared" si="2"/>
        <v>60877</v>
      </c>
      <c r="H75" s="117">
        <v>70990</v>
      </c>
    </row>
    <row r="76" spans="2:9" x14ac:dyDescent="0.25">
      <c r="B76" s="118" t="s">
        <v>85</v>
      </c>
      <c r="C76" s="112">
        <f>SUM(C64:C75)</f>
        <v>417396</v>
      </c>
      <c r="D76" s="119">
        <f t="shared" ref="D76:F76" si="3">SUM(D64:D75)</f>
        <v>0</v>
      </c>
      <c r="E76" s="119"/>
      <c r="F76" s="112">
        <f t="shared" si="3"/>
        <v>134343.5</v>
      </c>
      <c r="G76" s="112">
        <f>SUM(G64:G75)</f>
        <v>551739.5</v>
      </c>
      <c r="H76" s="112">
        <f>SUM(H64:H75)</f>
        <v>592594</v>
      </c>
      <c r="I76" s="103"/>
    </row>
  </sheetData>
  <conditionalFormatting pivot="1" sqref="C10:M20 P10:P20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pivot="1" sqref="C10:N20 P10:P2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pivot="1" sqref="C40:N4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4:P2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firstPageNumber="4294967295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tabColor theme="7" tint="0.59999389629810485"/>
  </sheetPr>
  <dimension ref="B1:T2161"/>
  <sheetViews>
    <sheetView showGridLines="0" zoomScale="85" zoomScaleNormal="85" workbookViewId="0">
      <pane ySplit="1" topLeftCell="A2" activePane="bottomLeft" state="frozen"/>
      <selection activeCell="O1389" sqref="O1389"/>
      <selection pane="bottomLeft" activeCell="O1439" sqref="O1439"/>
    </sheetView>
  </sheetViews>
  <sheetFormatPr defaultColWidth="20.7109375" defaultRowHeight="15" x14ac:dyDescent="0.2"/>
  <cols>
    <col min="1" max="1" width="3.28515625" style="120" customWidth="1"/>
    <col min="2" max="2" width="15" style="120" bestFit="1" customWidth="1"/>
    <col min="3" max="3" width="13.7109375" style="120" bestFit="1" customWidth="1"/>
    <col min="4" max="4" width="12.28515625" style="121" bestFit="1" customWidth="1"/>
    <col min="5" max="5" width="28" style="120" customWidth="1"/>
    <col min="6" max="6" width="36" style="122" bestFit="1" customWidth="1"/>
    <col min="7" max="7" width="15" style="123" customWidth="1"/>
    <col min="8" max="8" width="33.85546875" style="124" bestFit="1" customWidth="1"/>
    <col min="9" max="9" width="40.5703125" style="125" bestFit="1" customWidth="1"/>
    <col min="10" max="10" width="1.85546875" style="125" bestFit="1" customWidth="1"/>
    <col min="11" max="11" width="2.28515625" style="126" bestFit="1" customWidth="1"/>
    <col min="12" max="12" width="18.140625" style="121" bestFit="1" customWidth="1"/>
    <col min="13" max="13" width="14.5703125" style="121" customWidth="1"/>
    <col min="14" max="14" width="12.28515625" style="123" bestFit="1" customWidth="1"/>
    <col min="15" max="15" width="12.28515625" style="127" bestFit="1" customWidth="1"/>
    <col min="16" max="16" width="13.7109375" style="120" bestFit="1" customWidth="1"/>
    <col min="17" max="17" width="19" style="128" customWidth="1"/>
    <col min="18" max="18" width="10.42578125" style="129" customWidth="1"/>
    <col min="19" max="19" width="7.7109375" style="130" bestFit="1" customWidth="1"/>
    <col min="20" max="20" width="5.7109375" style="130" bestFit="1" customWidth="1"/>
    <col min="21" max="21" width="21.5703125" style="120" customWidth="1"/>
    <col min="22" max="22" width="14.42578125" style="120" customWidth="1"/>
    <col min="23" max="16384" width="20.7109375" style="120"/>
  </cols>
  <sheetData>
    <row r="1" spans="2:10" ht="24" customHeight="1" x14ac:dyDescent="0.2">
      <c r="B1" s="131" t="s">
        <v>86</v>
      </c>
      <c r="C1" s="132" t="s">
        <v>56</v>
      </c>
      <c r="D1" s="133" t="s">
        <v>87</v>
      </c>
      <c r="E1" s="131" t="s">
        <v>57</v>
      </c>
      <c r="F1" s="131" t="s">
        <v>88</v>
      </c>
      <c r="G1" s="134" t="s">
        <v>89</v>
      </c>
      <c r="H1" s="135" t="s">
        <v>90</v>
      </c>
      <c r="I1" s="136"/>
      <c r="J1" s="136"/>
    </row>
    <row r="2" spans="2:10" x14ac:dyDescent="0.2">
      <c r="B2" s="137">
        <f t="shared" ref="B2:B63" si="0">WEEKNUM(D2)</f>
        <v>1</v>
      </c>
      <c r="C2" s="138" t="str">
        <f>TEXT(Таблица8[[#This Row],[Дата]], "М")</f>
        <v>1</v>
      </c>
      <c r="D2" s="139">
        <v>44562</v>
      </c>
      <c r="E2" s="137" t="s">
        <v>71</v>
      </c>
      <c r="F2" s="137" t="s">
        <v>91</v>
      </c>
      <c r="G2" s="140">
        <v>241</v>
      </c>
      <c r="H2" s="141"/>
      <c r="I2" s="142"/>
      <c r="J2" s="142"/>
    </row>
    <row r="3" spans="2:10" x14ac:dyDescent="0.2">
      <c r="B3" s="143">
        <f t="shared" si="0"/>
        <v>1</v>
      </c>
      <c r="C3" s="138" t="str">
        <f>TEXT(Таблица8[[#This Row],[Дата]],"М")</f>
        <v>1</v>
      </c>
      <c r="D3" s="144">
        <v>44562</v>
      </c>
      <c r="E3" s="143" t="s">
        <v>30</v>
      </c>
      <c r="F3" s="143" t="s">
        <v>92</v>
      </c>
      <c r="G3" s="145">
        <f>500+1300</f>
        <v>1800</v>
      </c>
      <c r="H3" s="146" t="s">
        <v>93</v>
      </c>
      <c r="I3" s="142"/>
      <c r="J3" s="142"/>
    </row>
    <row r="4" spans="2:10" x14ac:dyDescent="0.2">
      <c r="B4" s="143">
        <f t="shared" si="0"/>
        <v>1</v>
      </c>
      <c r="C4" s="138" t="str">
        <f>TEXT(Таблица8[[#This Row],[Дата]],"М")</f>
        <v>1</v>
      </c>
      <c r="D4" s="144">
        <v>44562</v>
      </c>
      <c r="E4" s="143" t="s">
        <v>72</v>
      </c>
      <c r="F4" s="143" t="s">
        <v>43</v>
      </c>
      <c r="G4" s="147">
        <v>102</v>
      </c>
      <c r="H4" s="146"/>
      <c r="I4" s="142"/>
      <c r="J4" s="142"/>
    </row>
    <row r="5" spans="2:10" x14ac:dyDescent="0.2">
      <c r="B5" s="137">
        <f t="shared" si="0"/>
        <v>2</v>
      </c>
      <c r="C5" s="138" t="str">
        <f>TEXT(Таблица8[[#This Row],[Дата]],"М")</f>
        <v>1</v>
      </c>
      <c r="D5" s="139">
        <v>44563</v>
      </c>
      <c r="E5" s="137" t="s">
        <v>71</v>
      </c>
      <c r="F5" s="137" t="s">
        <v>94</v>
      </c>
      <c r="G5" s="140">
        <f>28*4</f>
        <v>112</v>
      </c>
      <c r="H5" s="141"/>
      <c r="I5" s="142"/>
      <c r="J5" s="142"/>
    </row>
    <row r="6" spans="2:10" x14ac:dyDescent="0.2">
      <c r="B6" s="143">
        <f t="shared" si="0"/>
        <v>2</v>
      </c>
      <c r="C6" s="138" t="str">
        <f>TEXT(Таблица8[[#This Row],[Дата]],"М")</f>
        <v>1</v>
      </c>
      <c r="D6" s="144">
        <v>44563</v>
      </c>
      <c r="E6" s="143" t="s">
        <v>20</v>
      </c>
      <c r="F6" s="143" t="s">
        <v>95</v>
      </c>
      <c r="G6" s="147">
        <f>166+82</f>
        <v>248</v>
      </c>
      <c r="H6" s="146"/>
      <c r="I6" s="142"/>
      <c r="J6" s="142"/>
    </row>
    <row r="7" spans="2:10" x14ac:dyDescent="0.2">
      <c r="B7" s="143">
        <f t="shared" si="0"/>
        <v>2</v>
      </c>
      <c r="C7" s="138" t="str">
        <f>TEXT(Таблица8[[#This Row],[Дата]],"М")</f>
        <v>1</v>
      </c>
      <c r="D7" s="144">
        <v>44563</v>
      </c>
      <c r="E7" s="143" t="s">
        <v>72</v>
      </c>
      <c r="F7" s="143" t="s">
        <v>43</v>
      </c>
      <c r="G7" s="147">
        <v>103</v>
      </c>
      <c r="H7" s="146"/>
      <c r="I7" s="142"/>
      <c r="J7" s="142"/>
    </row>
    <row r="8" spans="2:10" x14ac:dyDescent="0.2">
      <c r="B8" s="137">
        <f t="shared" si="0"/>
        <v>2</v>
      </c>
      <c r="C8" s="138" t="str">
        <f>TEXT(Таблица8[[#This Row],[Дата]],"М")</f>
        <v>1</v>
      </c>
      <c r="D8" s="139">
        <v>44564</v>
      </c>
      <c r="E8" s="137" t="s">
        <v>72</v>
      </c>
      <c r="F8" s="137" t="s">
        <v>40</v>
      </c>
      <c r="G8" s="140">
        <v>450</v>
      </c>
      <c r="H8" s="141"/>
      <c r="I8" s="142"/>
      <c r="J8" s="142"/>
    </row>
    <row r="9" spans="2:10" x14ac:dyDescent="0.2">
      <c r="B9" s="143">
        <f t="shared" si="0"/>
        <v>2</v>
      </c>
      <c r="C9" s="138" t="str">
        <f>TEXT(Таблица8[[#This Row],[Дата]],"М")</f>
        <v>1</v>
      </c>
      <c r="D9" s="144">
        <v>44564</v>
      </c>
      <c r="E9" s="143" t="s">
        <v>72</v>
      </c>
      <c r="F9" s="143" t="s">
        <v>43</v>
      </c>
      <c r="G9" s="147">
        <v>104</v>
      </c>
      <c r="H9" s="146"/>
      <c r="I9" s="142"/>
      <c r="J9" s="142"/>
    </row>
    <row r="10" spans="2:10" x14ac:dyDescent="0.2">
      <c r="B10" s="143">
        <f t="shared" si="0"/>
        <v>2</v>
      </c>
      <c r="C10" s="138" t="str">
        <f>TEXT(Таблица8[[#This Row],[Дата]],"М")</f>
        <v>1</v>
      </c>
      <c r="D10" s="144">
        <v>44564</v>
      </c>
      <c r="E10" s="143" t="s">
        <v>19</v>
      </c>
      <c r="F10" s="143" t="s">
        <v>96</v>
      </c>
      <c r="G10" s="147">
        <f>180+37+492</f>
        <v>709</v>
      </c>
      <c r="H10" s="146"/>
      <c r="I10" s="142"/>
      <c r="J10" s="142"/>
    </row>
    <row r="11" spans="2:10" x14ac:dyDescent="0.2">
      <c r="B11" s="143">
        <f t="shared" si="0"/>
        <v>2</v>
      </c>
      <c r="C11" s="138" t="str">
        <f>TEXT(Таблица8[[#This Row],[Дата]],"М")</f>
        <v>1</v>
      </c>
      <c r="D11" s="144">
        <v>44564</v>
      </c>
      <c r="E11" s="143" t="s">
        <v>71</v>
      </c>
      <c r="F11" s="143" t="s">
        <v>94</v>
      </c>
      <c r="G11" s="147">
        <f>28+28</f>
        <v>56</v>
      </c>
      <c r="H11" s="146"/>
      <c r="I11" s="142"/>
      <c r="J11" s="142"/>
    </row>
    <row r="12" spans="2:10" x14ac:dyDescent="0.2">
      <c r="B12" s="143">
        <f t="shared" si="0"/>
        <v>2</v>
      </c>
      <c r="C12" s="138" t="str">
        <f>TEXT(Таблица8[[#This Row],[Дата]],"М")</f>
        <v>1</v>
      </c>
      <c r="D12" s="144">
        <v>44564</v>
      </c>
      <c r="E12" s="143" t="s">
        <v>71</v>
      </c>
      <c r="F12" s="143" t="s">
        <v>91</v>
      </c>
      <c r="G12" s="147">
        <v>223</v>
      </c>
      <c r="H12" s="146"/>
      <c r="I12" s="142"/>
      <c r="J12" s="142"/>
    </row>
    <row r="13" spans="2:10" x14ac:dyDescent="0.2">
      <c r="B13" s="143">
        <f t="shared" si="0"/>
        <v>2</v>
      </c>
      <c r="C13" s="138" t="str">
        <f>TEXT(Таблица8[[#This Row],[Дата]],"М")</f>
        <v>1</v>
      </c>
      <c r="D13" s="144">
        <v>44564</v>
      </c>
      <c r="E13" s="143" t="s">
        <v>20</v>
      </c>
      <c r="F13" s="143" t="s">
        <v>95</v>
      </c>
      <c r="G13" s="147">
        <v>74</v>
      </c>
      <c r="H13" s="146"/>
      <c r="I13" s="142"/>
      <c r="J13" s="142"/>
    </row>
    <row r="14" spans="2:10" x14ac:dyDescent="0.2">
      <c r="B14" s="143">
        <f t="shared" si="0"/>
        <v>2</v>
      </c>
      <c r="C14" s="138" t="str">
        <f>TEXT(Таблица8[[#This Row],[Дата]],"М")</f>
        <v>1</v>
      </c>
      <c r="D14" s="144">
        <v>44564</v>
      </c>
      <c r="E14" s="143" t="s">
        <v>30</v>
      </c>
      <c r="F14" s="143" t="s">
        <v>92</v>
      </c>
      <c r="G14" s="147">
        <v>150</v>
      </c>
      <c r="H14" s="146"/>
      <c r="I14" s="142"/>
      <c r="J14" s="142"/>
    </row>
    <row r="15" spans="2:10" x14ac:dyDescent="0.2">
      <c r="B15" s="137">
        <f t="shared" si="0"/>
        <v>2</v>
      </c>
      <c r="C15" s="138" t="str">
        <f>TEXT(Таблица8[[#This Row],[Дата]],"М")</f>
        <v>1</v>
      </c>
      <c r="D15" s="139">
        <v>44565</v>
      </c>
      <c r="E15" s="137" t="s">
        <v>72</v>
      </c>
      <c r="F15" s="137" t="s">
        <v>43</v>
      </c>
      <c r="G15" s="140">
        <v>105</v>
      </c>
      <c r="H15" s="141"/>
      <c r="I15" s="142"/>
      <c r="J15" s="142"/>
    </row>
    <row r="16" spans="2:10" x14ac:dyDescent="0.2">
      <c r="B16" s="143">
        <f t="shared" si="0"/>
        <v>2</v>
      </c>
      <c r="C16" s="138" t="str">
        <f>TEXT(Таблица8[[#This Row],[Дата]],"М")</f>
        <v>1</v>
      </c>
      <c r="D16" s="144">
        <v>44565</v>
      </c>
      <c r="E16" s="148" t="s">
        <v>19</v>
      </c>
      <c r="F16" s="148" t="s">
        <v>96</v>
      </c>
      <c r="G16" s="149">
        <f>45+43</f>
        <v>88</v>
      </c>
      <c r="H16" s="150"/>
      <c r="I16" s="142"/>
      <c r="J16" s="142"/>
    </row>
    <row r="17" spans="2:15" x14ac:dyDescent="0.2">
      <c r="B17" s="143">
        <f t="shared" si="0"/>
        <v>2</v>
      </c>
      <c r="C17" s="138" t="str">
        <f>TEXT(Таблица8[[#This Row],[Дата]],"М")</f>
        <v>1</v>
      </c>
      <c r="D17" s="144">
        <v>44565</v>
      </c>
      <c r="E17" s="143" t="s">
        <v>20</v>
      </c>
      <c r="F17" s="143" t="s">
        <v>97</v>
      </c>
      <c r="G17" s="147">
        <v>440</v>
      </c>
      <c r="H17" s="146"/>
      <c r="I17" s="142"/>
      <c r="J17" s="142"/>
    </row>
    <row r="18" spans="2:15" x14ac:dyDescent="0.2">
      <c r="B18" s="137">
        <f t="shared" si="0"/>
        <v>2</v>
      </c>
      <c r="C18" s="138" t="str">
        <f>TEXT(Таблица8[[#This Row],[Дата]],"М")</f>
        <v>1</v>
      </c>
      <c r="D18" s="139">
        <v>44566</v>
      </c>
      <c r="E18" s="137" t="s">
        <v>72</v>
      </c>
      <c r="F18" s="137" t="s">
        <v>43</v>
      </c>
      <c r="G18" s="140">
        <f>106</f>
        <v>106</v>
      </c>
      <c r="H18" s="141"/>
      <c r="I18" s="142"/>
      <c r="J18" s="142"/>
    </row>
    <row r="19" spans="2:15" x14ac:dyDescent="0.2">
      <c r="B19" s="143">
        <f t="shared" si="0"/>
        <v>2</v>
      </c>
      <c r="C19" s="138" t="str">
        <f>TEXT(Таблица8[[#This Row],[Дата]],"М")</f>
        <v>1</v>
      </c>
      <c r="D19" s="144">
        <v>44566</v>
      </c>
      <c r="E19" s="148" t="s">
        <v>30</v>
      </c>
      <c r="F19" s="148" t="s">
        <v>98</v>
      </c>
      <c r="G19" s="149">
        <f>140+118</f>
        <v>258</v>
      </c>
      <c r="H19" s="150"/>
      <c r="I19" s="142"/>
      <c r="J19" s="142"/>
    </row>
    <row r="20" spans="2:15" x14ac:dyDescent="0.2">
      <c r="B20" s="143">
        <f t="shared" si="0"/>
        <v>2</v>
      </c>
      <c r="C20" s="138" t="str">
        <f>TEXT(Таблица8[[#This Row],[Дата]],"М")</f>
        <v>1</v>
      </c>
      <c r="D20" s="144">
        <v>44566</v>
      </c>
      <c r="E20" s="143" t="s">
        <v>71</v>
      </c>
      <c r="F20" s="143" t="s">
        <v>94</v>
      </c>
      <c r="G20" s="147">
        <v>28</v>
      </c>
      <c r="H20" s="146"/>
      <c r="I20" s="142"/>
      <c r="J20" s="142"/>
    </row>
    <row r="21" spans="2:15" x14ac:dyDescent="0.2">
      <c r="B21" s="143">
        <f t="shared" si="0"/>
        <v>2</v>
      </c>
      <c r="C21" s="138" t="str">
        <f>TEXT(Таблица8[[#This Row],[Дата]],"М")</f>
        <v>1</v>
      </c>
      <c r="D21" s="144">
        <v>44566</v>
      </c>
      <c r="E21" s="143" t="s">
        <v>71</v>
      </c>
      <c r="F21" s="143" t="s">
        <v>91</v>
      </c>
      <c r="G21" s="147">
        <v>141</v>
      </c>
      <c r="H21" s="146"/>
      <c r="I21" s="142"/>
      <c r="J21" s="142"/>
    </row>
    <row r="22" spans="2:15" x14ac:dyDescent="0.2">
      <c r="B22" s="137">
        <f t="shared" si="0"/>
        <v>2</v>
      </c>
      <c r="C22" s="138" t="str">
        <f>TEXT(Таблица8[[#This Row],[Дата]],"М")</f>
        <v>1</v>
      </c>
      <c r="D22" s="139">
        <v>44567</v>
      </c>
      <c r="E22" s="137" t="s">
        <v>72</v>
      </c>
      <c r="F22" s="137" t="s">
        <v>43</v>
      </c>
      <c r="G22" s="140">
        <v>107</v>
      </c>
      <c r="H22" s="141"/>
      <c r="I22" s="142"/>
      <c r="J22" s="142"/>
    </row>
    <row r="23" spans="2:15" x14ac:dyDescent="0.2">
      <c r="B23" s="143">
        <f t="shared" si="0"/>
        <v>2</v>
      </c>
      <c r="C23" s="138" t="str">
        <f>TEXT(Таблица8[[#This Row],[Дата]],"М")</f>
        <v>1</v>
      </c>
      <c r="D23" s="144">
        <v>44567</v>
      </c>
      <c r="E23" s="143" t="s">
        <v>22</v>
      </c>
      <c r="F23" s="143" t="s">
        <v>38</v>
      </c>
      <c r="G23" s="147">
        <v>665</v>
      </c>
      <c r="H23" s="146"/>
      <c r="I23" s="142"/>
      <c r="J23" s="142"/>
    </row>
    <row r="24" spans="2:15" x14ac:dyDescent="0.2">
      <c r="B24" s="143">
        <f t="shared" si="0"/>
        <v>2</v>
      </c>
      <c r="C24" s="138" t="str">
        <f>TEXT(Таблица8[[#This Row],[Дата]],"М")</f>
        <v>1</v>
      </c>
      <c r="D24" s="144">
        <v>44567</v>
      </c>
      <c r="E24" s="143" t="s">
        <v>19</v>
      </c>
      <c r="F24" s="143" t="s">
        <v>96</v>
      </c>
      <c r="G24" s="147">
        <f>325+73</f>
        <v>398</v>
      </c>
      <c r="H24" s="146"/>
      <c r="I24" s="142"/>
      <c r="J24" s="142"/>
    </row>
    <row r="25" spans="2:15" x14ac:dyDescent="0.2">
      <c r="B25" s="137">
        <f t="shared" si="0"/>
        <v>2</v>
      </c>
      <c r="C25" s="138" t="str">
        <f>TEXT(Таблица8[[#This Row],[Дата]],"М")</f>
        <v>1</v>
      </c>
      <c r="D25" s="139">
        <v>44568</v>
      </c>
      <c r="E25" s="137" t="s">
        <v>72</v>
      </c>
      <c r="F25" s="137" t="s">
        <v>43</v>
      </c>
      <c r="G25" s="140">
        <v>108</v>
      </c>
      <c r="H25" s="141"/>
      <c r="I25" s="142"/>
      <c r="J25" s="142"/>
    </row>
    <row r="26" spans="2:15" x14ac:dyDescent="0.2">
      <c r="B26" s="137">
        <f t="shared" si="0"/>
        <v>2</v>
      </c>
      <c r="C26" s="138" t="str">
        <f>TEXT(Таблица8[[#This Row],[Дата]],"М")</f>
        <v>1</v>
      </c>
      <c r="D26" s="139">
        <v>44569</v>
      </c>
      <c r="E26" s="151" t="s">
        <v>72</v>
      </c>
      <c r="F26" s="151" t="s">
        <v>40</v>
      </c>
      <c r="G26" s="152">
        <v>100</v>
      </c>
      <c r="H26" s="153"/>
      <c r="I26" s="142"/>
      <c r="J26" s="142"/>
    </row>
    <row r="27" spans="2:15" x14ac:dyDescent="0.2">
      <c r="B27" s="143">
        <f t="shared" si="0"/>
        <v>2</v>
      </c>
      <c r="C27" s="138" t="str">
        <f>TEXT(Таблица8[[#This Row],[Дата]],"М")</f>
        <v>1</v>
      </c>
      <c r="D27" s="144">
        <v>44569</v>
      </c>
      <c r="E27" s="143" t="s">
        <v>72</v>
      </c>
      <c r="F27" s="143" t="s">
        <v>44</v>
      </c>
      <c r="G27" s="147">
        <v>100</v>
      </c>
      <c r="H27" s="146"/>
      <c r="I27" s="142"/>
      <c r="J27" s="142"/>
    </row>
    <row r="28" spans="2:15" x14ac:dyDescent="0.2">
      <c r="B28" s="143">
        <f t="shared" si="0"/>
        <v>2</v>
      </c>
      <c r="C28" s="138" t="str">
        <f>TEXT(Таблица8[[#This Row],[Дата]],"М")</f>
        <v>1</v>
      </c>
      <c r="D28" s="144">
        <v>44569</v>
      </c>
      <c r="E28" s="143" t="s">
        <v>19</v>
      </c>
      <c r="F28" s="143" t="s">
        <v>96</v>
      </c>
      <c r="G28" s="147">
        <f>492+86+88+37+195</f>
        <v>898</v>
      </c>
      <c r="H28" s="146"/>
      <c r="I28" s="142"/>
      <c r="J28" s="142"/>
    </row>
    <row r="29" spans="2:15" x14ac:dyDescent="0.2">
      <c r="B29" s="143">
        <f t="shared" si="0"/>
        <v>2</v>
      </c>
      <c r="C29" s="138" t="str">
        <f>TEXT(Таблица8[[#This Row],[Дата]],"М")</f>
        <v>1</v>
      </c>
      <c r="D29" s="144">
        <v>44569</v>
      </c>
      <c r="E29" s="143" t="s">
        <v>27</v>
      </c>
      <c r="F29" s="143"/>
      <c r="G29" s="147">
        <v>20</v>
      </c>
      <c r="H29" s="146"/>
      <c r="I29" s="142"/>
      <c r="J29" s="142"/>
    </row>
    <row r="30" spans="2:15" x14ac:dyDescent="0.2">
      <c r="B30" s="137">
        <f t="shared" si="0"/>
        <v>3</v>
      </c>
      <c r="C30" s="138" t="str">
        <f>TEXT(Таблица8[[#This Row],[Дата]],"М")</f>
        <v>1</v>
      </c>
      <c r="D30" s="139">
        <v>44570</v>
      </c>
      <c r="E30" s="137" t="s">
        <v>72</v>
      </c>
      <c r="F30" s="137" t="s">
        <v>43</v>
      </c>
      <c r="G30" s="140">
        <v>109</v>
      </c>
      <c r="H30" s="141"/>
      <c r="I30" s="142"/>
      <c r="J30" s="142"/>
    </row>
    <row r="31" spans="2:15" x14ac:dyDescent="0.2">
      <c r="B31" s="137">
        <f t="shared" si="0"/>
        <v>3</v>
      </c>
      <c r="C31" s="138" t="str">
        <f>TEXT(Таблица8[[#This Row],[Дата]],"М")</f>
        <v>1</v>
      </c>
      <c r="D31" s="139">
        <v>44571</v>
      </c>
      <c r="E31" s="137" t="s">
        <v>72</v>
      </c>
      <c r="F31" s="137" t="s">
        <v>43</v>
      </c>
      <c r="G31" s="140">
        <v>111</v>
      </c>
      <c r="H31" s="141"/>
      <c r="I31" s="142"/>
      <c r="J31" s="142"/>
    </row>
    <row r="32" spans="2:15" x14ac:dyDescent="0.2">
      <c r="B32" s="143">
        <f t="shared" si="0"/>
        <v>3</v>
      </c>
      <c r="C32" s="138" t="str">
        <f>TEXT(Таблица8[[#This Row],[Дата]],"М")</f>
        <v>1</v>
      </c>
      <c r="D32" s="144">
        <v>44571</v>
      </c>
      <c r="E32" s="143" t="s">
        <v>72</v>
      </c>
      <c r="F32" s="143" t="s">
        <v>40</v>
      </c>
      <c r="G32" s="147">
        <v>150</v>
      </c>
      <c r="H32" s="146"/>
      <c r="I32" s="142"/>
      <c r="J32" s="142"/>
      <c r="L32" s="120"/>
      <c r="M32" s="120"/>
      <c r="N32" s="120"/>
      <c r="O32" s="130"/>
    </row>
    <row r="33" spans="2:15" x14ac:dyDescent="0.2">
      <c r="B33" s="143">
        <f t="shared" si="0"/>
        <v>3</v>
      </c>
      <c r="C33" s="138" t="str">
        <f>TEXT(Таблица8[[#This Row],[Дата]],"М")</f>
        <v>1</v>
      </c>
      <c r="D33" s="144">
        <v>44571</v>
      </c>
      <c r="E33" s="143" t="s">
        <v>72</v>
      </c>
      <c r="F33" s="143" t="s">
        <v>44</v>
      </c>
      <c r="G33" s="147">
        <v>28</v>
      </c>
      <c r="H33" s="146"/>
      <c r="I33" s="142"/>
      <c r="J33" s="142"/>
    </row>
    <row r="34" spans="2:15" x14ac:dyDescent="0.2">
      <c r="B34" s="143">
        <f t="shared" si="0"/>
        <v>3</v>
      </c>
      <c r="C34" s="138" t="str">
        <f>TEXT(Таблица8[[#This Row],[Дата]],"М")</f>
        <v>1</v>
      </c>
      <c r="D34" s="144">
        <v>44571</v>
      </c>
      <c r="E34" s="143" t="s">
        <v>20</v>
      </c>
      <c r="F34" s="143" t="s">
        <v>99</v>
      </c>
      <c r="G34" s="147">
        <v>127</v>
      </c>
      <c r="H34" s="146"/>
      <c r="I34" s="142"/>
      <c r="J34" s="142"/>
      <c r="L34" s="120"/>
      <c r="M34" s="120"/>
      <c r="N34" s="120"/>
      <c r="O34" s="130"/>
    </row>
    <row r="35" spans="2:15" x14ac:dyDescent="0.2">
      <c r="B35" s="143">
        <f t="shared" si="0"/>
        <v>3</v>
      </c>
      <c r="C35" s="138" t="str">
        <f>TEXT(Таблица8[[#This Row],[Дата]],"М")</f>
        <v>1</v>
      </c>
      <c r="D35" s="144">
        <v>44571</v>
      </c>
      <c r="E35" s="143" t="s">
        <v>71</v>
      </c>
      <c r="F35" s="143" t="s">
        <v>94</v>
      </c>
      <c r="G35" s="147">
        <f>28*3</f>
        <v>84</v>
      </c>
      <c r="H35" s="146"/>
      <c r="I35" s="142"/>
      <c r="J35" s="142"/>
    </row>
    <row r="36" spans="2:15" x14ac:dyDescent="0.2">
      <c r="B36" s="143">
        <f t="shared" si="0"/>
        <v>3</v>
      </c>
      <c r="C36" s="138" t="str">
        <f>TEXT(Таблица8[[#This Row],[Дата]],"М")</f>
        <v>1</v>
      </c>
      <c r="D36" s="144">
        <v>44571</v>
      </c>
      <c r="E36" s="143" t="s">
        <v>71</v>
      </c>
      <c r="F36" s="143" t="s">
        <v>91</v>
      </c>
      <c r="G36" s="147">
        <v>140</v>
      </c>
      <c r="H36" s="146"/>
      <c r="I36" s="142"/>
      <c r="J36" s="142"/>
    </row>
    <row r="37" spans="2:15" x14ac:dyDescent="0.2">
      <c r="B37" s="143">
        <f t="shared" si="0"/>
        <v>3</v>
      </c>
      <c r="C37" s="138" t="str">
        <f>TEXT(Таблица8[[#This Row],[Дата]],"М")</f>
        <v>1</v>
      </c>
      <c r="D37" s="144">
        <v>44571</v>
      </c>
      <c r="E37" s="143" t="s">
        <v>30</v>
      </c>
      <c r="F37" s="143" t="s">
        <v>100</v>
      </c>
      <c r="G37" s="147">
        <v>80</v>
      </c>
      <c r="H37" s="146"/>
      <c r="I37" s="142"/>
      <c r="J37" s="142"/>
    </row>
    <row r="38" spans="2:15" x14ac:dyDescent="0.2">
      <c r="B38" s="137">
        <f t="shared" si="0"/>
        <v>3</v>
      </c>
      <c r="C38" s="138" t="str">
        <f>TEXT(Таблица8[[#This Row],[Дата]],"М")</f>
        <v>1</v>
      </c>
      <c r="D38" s="139">
        <v>44572</v>
      </c>
      <c r="E38" s="137" t="s">
        <v>72</v>
      </c>
      <c r="F38" s="137" t="s">
        <v>43</v>
      </c>
      <c r="G38" s="152">
        <v>112</v>
      </c>
      <c r="H38" s="153"/>
      <c r="I38" s="142"/>
      <c r="J38" s="142"/>
    </row>
    <row r="39" spans="2:15" x14ac:dyDescent="0.2">
      <c r="B39" s="143">
        <f t="shared" si="0"/>
        <v>3</v>
      </c>
      <c r="C39" s="138" t="str">
        <f>TEXT(Таблица8[[#This Row],[Дата]],"М")</f>
        <v>1</v>
      </c>
      <c r="D39" s="144">
        <v>44572</v>
      </c>
      <c r="E39" s="143" t="s">
        <v>20</v>
      </c>
      <c r="F39" s="143" t="s">
        <v>99</v>
      </c>
      <c r="G39" s="147">
        <v>120</v>
      </c>
      <c r="H39" s="146"/>
      <c r="I39" s="142"/>
      <c r="J39" s="142"/>
    </row>
    <row r="40" spans="2:15" x14ac:dyDescent="0.2">
      <c r="B40" s="143">
        <f t="shared" si="0"/>
        <v>3</v>
      </c>
      <c r="C40" s="138" t="str">
        <f>TEXT(Таблица8[[#This Row],[Дата]],"М")</f>
        <v>1</v>
      </c>
      <c r="D40" s="144">
        <v>44572</v>
      </c>
      <c r="E40" s="143" t="s">
        <v>22</v>
      </c>
      <c r="F40" s="143" t="s">
        <v>38</v>
      </c>
      <c r="G40" s="147">
        <v>473</v>
      </c>
      <c r="H40" s="146" t="s">
        <v>101</v>
      </c>
      <c r="I40" s="142"/>
      <c r="J40" s="142"/>
    </row>
    <row r="41" spans="2:15" x14ac:dyDescent="0.2">
      <c r="B41" s="143">
        <f t="shared" si="0"/>
        <v>3</v>
      </c>
      <c r="C41" s="138" t="str">
        <f>TEXT(Таблица8[[#This Row],[Дата]],"М")</f>
        <v>1</v>
      </c>
      <c r="D41" s="144">
        <v>44572</v>
      </c>
      <c r="E41" s="143" t="s">
        <v>20</v>
      </c>
      <c r="F41" s="143" t="s">
        <v>102</v>
      </c>
      <c r="G41" s="147">
        <v>172</v>
      </c>
      <c r="H41" s="146"/>
      <c r="I41" s="142"/>
      <c r="J41" s="142"/>
    </row>
    <row r="42" spans="2:15" x14ac:dyDescent="0.2">
      <c r="B42" s="143">
        <f t="shared" si="0"/>
        <v>3</v>
      </c>
      <c r="C42" s="138" t="str">
        <f>TEXT(Таблица8[[#This Row],[Дата]],"М")</f>
        <v>1</v>
      </c>
      <c r="D42" s="144">
        <v>44572</v>
      </c>
      <c r="E42" s="143" t="s">
        <v>71</v>
      </c>
      <c r="F42" s="143" t="s">
        <v>94</v>
      </c>
      <c r="G42" s="147">
        <v>28</v>
      </c>
      <c r="H42" s="146"/>
      <c r="I42" s="142"/>
      <c r="J42" s="142"/>
    </row>
    <row r="43" spans="2:15" x14ac:dyDescent="0.2">
      <c r="B43" s="143">
        <f t="shared" si="0"/>
        <v>3</v>
      </c>
      <c r="C43" s="138" t="str">
        <f>TEXT(Таблица8[[#This Row],[Дата]],"М")</f>
        <v>1</v>
      </c>
      <c r="D43" s="144">
        <v>44572</v>
      </c>
      <c r="E43" s="143" t="s">
        <v>71</v>
      </c>
      <c r="F43" s="143" t="s">
        <v>91</v>
      </c>
      <c r="G43" s="147">
        <v>162</v>
      </c>
      <c r="H43" s="146"/>
      <c r="I43" s="142"/>
      <c r="J43" s="142"/>
    </row>
    <row r="44" spans="2:15" x14ac:dyDescent="0.2">
      <c r="B44" s="137">
        <f t="shared" si="0"/>
        <v>3</v>
      </c>
      <c r="C44" s="138" t="str">
        <f>TEXT(Таблица8[[#This Row],[Дата]],"М")</f>
        <v>1</v>
      </c>
      <c r="D44" s="139">
        <v>44573</v>
      </c>
      <c r="E44" s="137" t="s">
        <v>72</v>
      </c>
      <c r="F44" s="137" t="s">
        <v>43</v>
      </c>
      <c r="G44" s="140">
        <v>113</v>
      </c>
      <c r="H44" s="141"/>
      <c r="I44" s="142"/>
      <c r="J44" s="142"/>
    </row>
    <row r="45" spans="2:15" x14ac:dyDescent="0.2">
      <c r="B45" s="143">
        <f t="shared" si="0"/>
        <v>3</v>
      </c>
      <c r="C45" s="138" t="str">
        <f>TEXT(Таблица8[[#This Row],[Дата]],"М")</f>
        <v>1</v>
      </c>
      <c r="D45" s="144">
        <v>44573</v>
      </c>
      <c r="E45" s="143" t="s">
        <v>71</v>
      </c>
      <c r="F45" s="143" t="s">
        <v>91</v>
      </c>
      <c r="G45" s="147">
        <v>150</v>
      </c>
      <c r="H45" s="146"/>
      <c r="I45" s="142"/>
      <c r="J45" s="142"/>
    </row>
    <row r="46" spans="2:15" x14ac:dyDescent="0.2">
      <c r="B46" s="143">
        <f t="shared" si="0"/>
        <v>3</v>
      </c>
      <c r="C46" s="138" t="str">
        <f>TEXT(Таблица8[[#This Row],[Дата]],"М")</f>
        <v>1</v>
      </c>
      <c r="D46" s="144">
        <v>44573</v>
      </c>
      <c r="E46" s="143" t="s">
        <v>20</v>
      </c>
      <c r="F46" s="143" t="s">
        <v>99</v>
      </c>
      <c r="G46" s="147">
        <v>151</v>
      </c>
      <c r="H46" s="146"/>
      <c r="I46" s="142"/>
      <c r="J46" s="142"/>
    </row>
    <row r="47" spans="2:15" x14ac:dyDescent="0.2">
      <c r="B47" s="143">
        <f t="shared" si="0"/>
        <v>3</v>
      </c>
      <c r="C47" s="138" t="str">
        <f>TEXT(Таблица8[[#This Row],[Дата]],"М")</f>
        <v>1</v>
      </c>
      <c r="D47" s="144">
        <v>44573</v>
      </c>
      <c r="E47" s="143" t="s">
        <v>19</v>
      </c>
      <c r="F47" s="143" t="s">
        <v>96</v>
      </c>
      <c r="G47" s="147">
        <v>225</v>
      </c>
      <c r="H47" s="146"/>
      <c r="I47" s="142"/>
      <c r="J47" s="142"/>
    </row>
    <row r="48" spans="2:15" x14ac:dyDescent="0.2">
      <c r="B48" s="137">
        <f t="shared" si="0"/>
        <v>3</v>
      </c>
      <c r="C48" s="138" t="str">
        <f>TEXT(Таблица8[[#This Row],[Дата]],"М")</f>
        <v>1</v>
      </c>
      <c r="D48" s="139">
        <v>44574</v>
      </c>
      <c r="E48" s="137" t="s">
        <v>72</v>
      </c>
      <c r="F48" s="137" t="s">
        <v>43</v>
      </c>
      <c r="G48" s="140">
        <v>114</v>
      </c>
      <c r="H48" s="141"/>
      <c r="I48" s="142"/>
      <c r="J48" s="142"/>
    </row>
    <row r="49" spans="2:11" x14ac:dyDescent="0.2">
      <c r="B49" s="143">
        <f t="shared" si="0"/>
        <v>3</v>
      </c>
      <c r="C49" s="138" t="str">
        <f>TEXT(Таблица8[[#This Row],[Дата]],"М")</f>
        <v>1</v>
      </c>
      <c r="D49" s="144">
        <v>44574</v>
      </c>
      <c r="E49" s="143" t="s">
        <v>20</v>
      </c>
      <c r="F49" s="143" t="s">
        <v>99</v>
      </c>
      <c r="G49" s="147">
        <v>132</v>
      </c>
      <c r="H49" s="146"/>
      <c r="I49" s="142"/>
      <c r="J49" s="142"/>
    </row>
    <row r="50" spans="2:11" x14ac:dyDescent="0.2">
      <c r="B50" s="143">
        <f t="shared" si="0"/>
        <v>3</v>
      </c>
      <c r="C50" s="138" t="str">
        <f>TEXT(Таблица8[[#This Row],[Дата]],"М")</f>
        <v>1</v>
      </c>
      <c r="D50" s="144">
        <v>44574</v>
      </c>
      <c r="E50" s="143" t="s">
        <v>19</v>
      </c>
      <c r="F50" s="143" t="s">
        <v>96</v>
      </c>
      <c r="G50" s="147">
        <v>44</v>
      </c>
      <c r="H50" s="146"/>
      <c r="I50" s="142"/>
      <c r="J50" s="142"/>
    </row>
    <row r="51" spans="2:11" x14ac:dyDescent="0.2">
      <c r="B51" s="143">
        <f t="shared" si="0"/>
        <v>3</v>
      </c>
      <c r="C51" s="138" t="str">
        <f>TEXT(Таблица8[[#This Row],[Дата]],"М")</f>
        <v>1</v>
      </c>
      <c r="D51" s="144">
        <v>44574</v>
      </c>
      <c r="E51" s="148" t="s">
        <v>20</v>
      </c>
      <c r="F51" s="148" t="s">
        <v>102</v>
      </c>
      <c r="G51" s="149">
        <v>164</v>
      </c>
      <c r="H51" s="150"/>
      <c r="I51" s="142"/>
      <c r="J51" s="142"/>
    </row>
    <row r="52" spans="2:11" x14ac:dyDescent="0.2">
      <c r="B52" s="137">
        <f t="shared" si="0"/>
        <v>3</v>
      </c>
      <c r="C52" s="138" t="str">
        <f>TEXT(Таблица8[[#This Row],[Дата]],"М")</f>
        <v>1</v>
      </c>
      <c r="D52" s="139">
        <v>44575</v>
      </c>
      <c r="E52" s="137" t="s">
        <v>72</v>
      </c>
      <c r="F52" s="137" t="s">
        <v>43</v>
      </c>
      <c r="G52" s="140">
        <v>115</v>
      </c>
      <c r="H52" s="141"/>
      <c r="I52" s="142"/>
      <c r="J52" s="142"/>
    </row>
    <row r="53" spans="2:11" x14ac:dyDescent="0.2">
      <c r="B53" s="143">
        <f t="shared" si="0"/>
        <v>3</v>
      </c>
      <c r="C53" s="138" t="str">
        <f>TEXT(Таблица8[[#This Row],[Дата]],"М")</f>
        <v>1</v>
      </c>
      <c r="D53" s="144">
        <v>44575</v>
      </c>
      <c r="E53" s="143" t="s">
        <v>20</v>
      </c>
      <c r="F53" s="143" t="s">
        <v>99</v>
      </c>
      <c r="G53" s="147">
        <v>120</v>
      </c>
      <c r="H53" s="146"/>
      <c r="I53" s="142"/>
      <c r="J53" s="142"/>
    </row>
    <row r="54" spans="2:11" x14ac:dyDescent="0.2">
      <c r="B54" s="143">
        <f t="shared" si="0"/>
        <v>3</v>
      </c>
      <c r="C54" s="138" t="str">
        <f>TEXT(Таблица8[[#This Row],[Дата]],"М")</f>
        <v>1</v>
      </c>
      <c r="D54" s="144">
        <v>44575</v>
      </c>
      <c r="E54" s="143" t="s">
        <v>19</v>
      </c>
      <c r="F54" s="143" t="s">
        <v>96</v>
      </c>
      <c r="G54" s="147">
        <f>174+50</f>
        <v>224</v>
      </c>
      <c r="H54" s="146"/>
      <c r="I54" s="142"/>
      <c r="J54" s="142"/>
    </row>
    <row r="55" spans="2:11" x14ac:dyDescent="0.2">
      <c r="B55" s="143">
        <f t="shared" si="0"/>
        <v>3</v>
      </c>
      <c r="C55" s="138" t="str">
        <f>TEXT(Таблица8[[#This Row],[Дата]],"М")</f>
        <v>1</v>
      </c>
      <c r="D55" s="144">
        <v>44575</v>
      </c>
      <c r="E55" s="143" t="s">
        <v>72</v>
      </c>
      <c r="F55" s="143" t="s">
        <v>44</v>
      </c>
      <c r="G55" s="147">
        <v>47</v>
      </c>
      <c r="H55" s="146"/>
      <c r="I55" s="142"/>
      <c r="J55" s="142"/>
    </row>
    <row r="56" spans="2:11" x14ac:dyDescent="0.2">
      <c r="B56" s="143">
        <f t="shared" si="0"/>
        <v>3</v>
      </c>
      <c r="C56" s="138" t="str">
        <f>TEXT(Таблица8[[#This Row],[Дата]],"М")</f>
        <v>1</v>
      </c>
      <c r="D56" s="144">
        <v>44575</v>
      </c>
      <c r="E56" s="143" t="s">
        <v>72</v>
      </c>
      <c r="F56" s="143" t="s">
        <v>42</v>
      </c>
      <c r="G56" s="147">
        <v>100</v>
      </c>
      <c r="H56" s="146"/>
      <c r="I56" s="142"/>
      <c r="J56" s="142"/>
    </row>
    <row r="57" spans="2:11" x14ac:dyDescent="0.2">
      <c r="B57" s="143">
        <f t="shared" si="0"/>
        <v>3</v>
      </c>
      <c r="C57" s="138" t="str">
        <f>TEXT(Таблица8[[#This Row],[Дата]],"М")</f>
        <v>1</v>
      </c>
      <c r="D57" s="144">
        <v>44575</v>
      </c>
      <c r="E57" s="143" t="s">
        <v>23</v>
      </c>
      <c r="F57" s="143" t="s">
        <v>103</v>
      </c>
      <c r="G57" s="147">
        <v>102</v>
      </c>
      <c r="H57" s="146"/>
      <c r="I57" s="142"/>
      <c r="J57" s="142"/>
    </row>
    <row r="58" spans="2:11" ht="15.75" x14ac:dyDescent="0.2">
      <c r="B58" s="143">
        <f t="shared" si="0"/>
        <v>3</v>
      </c>
      <c r="C58" s="138" t="str">
        <f>TEXT(Таблица8[[#This Row],[Дата]],"М")</f>
        <v>1</v>
      </c>
      <c r="D58" s="144">
        <v>44575</v>
      </c>
      <c r="E58" s="143" t="s">
        <v>71</v>
      </c>
      <c r="F58" s="143" t="s">
        <v>94</v>
      </c>
      <c r="G58" s="147">
        <v>28</v>
      </c>
      <c r="H58" s="146"/>
      <c r="I58" s="142"/>
      <c r="J58" s="142"/>
      <c r="K58" s="154"/>
    </row>
    <row r="59" spans="2:11" x14ac:dyDescent="0.2">
      <c r="B59" s="137">
        <f t="shared" si="0"/>
        <v>3</v>
      </c>
      <c r="C59" s="138" t="str">
        <f>TEXT(Таблица8[[#This Row],[Дата]],"М")</f>
        <v>1</v>
      </c>
      <c r="D59" s="139">
        <v>44576</v>
      </c>
      <c r="E59" s="137" t="s">
        <v>72</v>
      </c>
      <c r="F59" s="137" t="s">
        <v>43</v>
      </c>
      <c r="G59" s="140">
        <v>116</v>
      </c>
      <c r="H59" s="141"/>
      <c r="I59" s="142"/>
      <c r="J59" s="142"/>
    </row>
    <row r="60" spans="2:11" ht="14.25" customHeight="1" x14ac:dyDescent="0.2">
      <c r="B60" s="143">
        <f t="shared" si="0"/>
        <v>3</v>
      </c>
      <c r="C60" s="138" t="str">
        <f>TEXT(Таблица8[[#This Row],[Дата]],"М")</f>
        <v>1</v>
      </c>
      <c r="D60" s="144">
        <v>44576</v>
      </c>
      <c r="E60" s="143" t="s">
        <v>71</v>
      </c>
      <c r="F60" s="143" t="s">
        <v>94</v>
      </c>
      <c r="G60" s="147">
        <f>28*3</f>
        <v>84</v>
      </c>
      <c r="H60" s="146"/>
      <c r="I60" s="142"/>
      <c r="J60" s="142"/>
    </row>
    <row r="61" spans="2:11" ht="14.25" customHeight="1" x14ac:dyDescent="0.2">
      <c r="B61" s="143">
        <f t="shared" si="0"/>
        <v>3</v>
      </c>
      <c r="C61" s="138" t="str">
        <f>TEXT(Таблица8[[#This Row],[Дата]],"М")</f>
        <v>1</v>
      </c>
      <c r="D61" s="144">
        <v>44576</v>
      </c>
      <c r="E61" s="143" t="s">
        <v>19</v>
      </c>
      <c r="F61" s="143" t="s">
        <v>96</v>
      </c>
      <c r="G61" s="147">
        <f>127+84</f>
        <v>211</v>
      </c>
      <c r="H61" s="146"/>
      <c r="I61" s="142"/>
      <c r="J61" s="142"/>
    </row>
    <row r="62" spans="2:11" x14ac:dyDescent="0.2">
      <c r="B62" s="143">
        <f t="shared" si="0"/>
        <v>3</v>
      </c>
      <c r="C62" s="138" t="str">
        <f>TEXT(Таблица8[[#This Row],[Дата]],"М")</f>
        <v>1</v>
      </c>
      <c r="D62" s="144">
        <v>44576</v>
      </c>
      <c r="E62" s="148" t="s">
        <v>20</v>
      </c>
      <c r="F62" s="148" t="s">
        <v>99</v>
      </c>
      <c r="G62" s="149">
        <v>86</v>
      </c>
      <c r="H62" s="150"/>
      <c r="I62" s="142"/>
      <c r="J62" s="142"/>
    </row>
    <row r="63" spans="2:11" x14ac:dyDescent="0.2">
      <c r="B63" s="143">
        <f t="shared" si="0"/>
        <v>3</v>
      </c>
      <c r="C63" s="138" t="str">
        <f>TEXT(Таблица8[[#This Row],[Дата]],"М")</f>
        <v>1</v>
      </c>
      <c r="D63" s="144">
        <v>44576</v>
      </c>
      <c r="E63" s="143" t="s">
        <v>72</v>
      </c>
      <c r="F63" s="143" t="s">
        <v>41</v>
      </c>
      <c r="G63" s="147">
        <v>500</v>
      </c>
      <c r="H63" s="146"/>
      <c r="I63" s="142"/>
      <c r="J63" s="142"/>
    </row>
    <row r="64" spans="2:11" x14ac:dyDescent="0.2">
      <c r="B64" s="137">
        <f t="shared" ref="B64:B126" si="1">WEEKNUM(D64)</f>
        <v>4</v>
      </c>
      <c r="C64" s="138" t="str">
        <f>TEXT(Таблица8[[#This Row],[Дата]],"М")</f>
        <v>1</v>
      </c>
      <c r="D64" s="139">
        <v>44577</v>
      </c>
      <c r="E64" s="137" t="s">
        <v>72</v>
      </c>
      <c r="F64" s="137" t="s">
        <v>43</v>
      </c>
      <c r="G64" s="140">
        <v>117</v>
      </c>
      <c r="H64" s="141"/>
      <c r="I64" s="142"/>
      <c r="J64" s="142"/>
    </row>
    <row r="65" spans="2:10" x14ac:dyDescent="0.2">
      <c r="B65" s="143">
        <f t="shared" si="1"/>
        <v>4</v>
      </c>
      <c r="C65" s="138" t="str">
        <f>TEXT(Таблица8[[#This Row],[Дата]],"М")</f>
        <v>1</v>
      </c>
      <c r="D65" s="144">
        <v>44577</v>
      </c>
      <c r="E65" s="143" t="s">
        <v>19</v>
      </c>
      <c r="F65" s="143" t="s">
        <v>96</v>
      </c>
      <c r="G65" s="147">
        <v>575</v>
      </c>
      <c r="H65" s="146"/>
      <c r="I65" s="142"/>
      <c r="J65" s="142"/>
    </row>
    <row r="66" spans="2:10" x14ac:dyDescent="0.2">
      <c r="B66" s="143">
        <f t="shared" si="1"/>
        <v>4</v>
      </c>
      <c r="C66" s="138" t="str">
        <f>TEXT(Таблица8[[#This Row],[Дата]],"М")</f>
        <v>1</v>
      </c>
      <c r="D66" s="144">
        <v>44577</v>
      </c>
      <c r="E66" s="143" t="s">
        <v>71</v>
      </c>
      <c r="F66" s="143" t="s">
        <v>94</v>
      </c>
      <c r="G66" s="147">
        <v>28</v>
      </c>
      <c r="H66" s="146"/>
      <c r="I66" s="142"/>
      <c r="J66" s="142"/>
    </row>
    <row r="67" spans="2:10" x14ac:dyDescent="0.2">
      <c r="B67" s="137">
        <f t="shared" si="1"/>
        <v>4</v>
      </c>
      <c r="C67" s="138" t="str">
        <f>TEXT(Таблица8[[#This Row],[Дата]],"М")</f>
        <v>1</v>
      </c>
      <c r="D67" s="139">
        <v>44578</v>
      </c>
      <c r="E67" s="137" t="s">
        <v>72</v>
      </c>
      <c r="F67" s="137" t="s">
        <v>43</v>
      </c>
      <c r="G67" s="140">
        <v>118</v>
      </c>
      <c r="H67" s="141"/>
      <c r="I67" s="142"/>
      <c r="J67" s="142"/>
    </row>
    <row r="68" spans="2:10" x14ac:dyDescent="0.2">
      <c r="B68" s="143">
        <f t="shared" si="1"/>
        <v>4</v>
      </c>
      <c r="C68" s="138" t="str">
        <f>TEXT(Таблица8[[#This Row],[Дата]],"М")</f>
        <v>1</v>
      </c>
      <c r="D68" s="144">
        <v>44578</v>
      </c>
      <c r="E68" s="143" t="s">
        <v>71</v>
      </c>
      <c r="F68" s="143" t="s">
        <v>94</v>
      </c>
      <c r="G68" s="147">
        <v>28</v>
      </c>
      <c r="H68" s="146"/>
      <c r="I68" s="142"/>
      <c r="J68" s="142"/>
    </row>
    <row r="69" spans="2:10" x14ac:dyDescent="0.2">
      <c r="B69" s="143">
        <f t="shared" si="1"/>
        <v>4</v>
      </c>
      <c r="C69" s="138" t="str">
        <f>TEXT(Таблица8[[#This Row],[Дата]],"М")</f>
        <v>1</v>
      </c>
      <c r="D69" s="144">
        <v>44578</v>
      </c>
      <c r="E69" s="143" t="s">
        <v>27</v>
      </c>
      <c r="F69" s="143"/>
      <c r="G69" s="147">
        <v>200</v>
      </c>
      <c r="H69" s="146"/>
      <c r="I69" s="142"/>
      <c r="J69" s="142"/>
    </row>
    <row r="70" spans="2:10" x14ac:dyDescent="0.2">
      <c r="B70" s="143">
        <f t="shared" si="1"/>
        <v>4</v>
      </c>
      <c r="C70" s="138" t="str">
        <f>TEXT(Таблица8[[#This Row],[Дата]],"М")</f>
        <v>1</v>
      </c>
      <c r="D70" s="144">
        <v>44578</v>
      </c>
      <c r="E70" s="143" t="s">
        <v>20</v>
      </c>
      <c r="F70" s="143" t="s">
        <v>99</v>
      </c>
      <c r="G70" s="147">
        <v>76</v>
      </c>
      <c r="H70" s="146"/>
      <c r="I70" s="142"/>
      <c r="J70" s="142"/>
    </row>
    <row r="71" spans="2:10" x14ac:dyDescent="0.2">
      <c r="B71" s="137">
        <f t="shared" si="1"/>
        <v>4</v>
      </c>
      <c r="C71" s="138" t="str">
        <f>TEXT(Таблица8[[#This Row],[Дата]],"М")</f>
        <v>1</v>
      </c>
      <c r="D71" s="139">
        <v>44579</v>
      </c>
      <c r="E71" s="137" t="s">
        <v>71</v>
      </c>
      <c r="F71" s="137" t="s">
        <v>94</v>
      </c>
      <c r="G71" s="140">
        <f>32+28+28</f>
        <v>88</v>
      </c>
      <c r="H71" s="141"/>
      <c r="I71" s="142"/>
      <c r="J71" s="142"/>
    </row>
    <row r="72" spans="2:10" x14ac:dyDescent="0.2">
      <c r="B72" s="143">
        <f t="shared" si="1"/>
        <v>4</v>
      </c>
      <c r="C72" s="138" t="str">
        <f>TEXT(Таблица8[[#This Row],[Дата]],"М")</f>
        <v>1</v>
      </c>
      <c r="D72" s="144">
        <v>44579</v>
      </c>
      <c r="E72" s="143" t="s">
        <v>20</v>
      </c>
      <c r="F72" s="143" t="s">
        <v>99</v>
      </c>
      <c r="G72" s="147">
        <v>128</v>
      </c>
      <c r="H72" s="146"/>
      <c r="I72" s="142"/>
      <c r="J72" s="142"/>
    </row>
    <row r="73" spans="2:10" x14ac:dyDescent="0.2">
      <c r="B73" s="143">
        <f t="shared" si="1"/>
        <v>4</v>
      </c>
      <c r="C73" s="138" t="str">
        <f>TEXT(Таблица8[[#This Row],[Дата]],"М")</f>
        <v>1</v>
      </c>
      <c r="D73" s="144">
        <v>44579</v>
      </c>
      <c r="E73" s="143" t="s">
        <v>72</v>
      </c>
      <c r="F73" s="143" t="s">
        <v>40</v>
      </c>
      <c r="G73" s="147">
        <v>100</v>
      </c>
      <c r="H73" s="146"/>
      <c r="I73" s="142"/>
      <c r="J73" s="142"/>
    </row>
    <row r="74" spans="2:10" x14ac:dyDescent="0.2">
      <c r="B74" s="143">
        <f t="shared" si="1"/>
        <v>4</v>
      </c>
      <c r="C74" s="138" t="str">
        <f>TEXT(Таблица8[[#This Row],[Дата]],"М")</f>
        <v>1</v>
      </c>
      <c r="D74" s="144">
        <v>44579</v>
      </c>
      <c r="E74" s="143" t="s">
        <v>72</v>
      </c>
      <c r="F74" s="143" t="s">
        <v>44</v>
      </c>
      <c r="G74" s="147">
        <v>100</v>
      </c>
      <c r="H74" s="146"/>
      <c r="I74" s="142"/>
      <c r="J74" s="142"/>
    </row>
    <row r="75" spans="2:10" x14ac:dyDescent="0.2">
      <c r="B75" s="143">
        <f t="shared" si="1"/>
        <v>4</v>
      </c>
      <c r="C75" s="138" t="str">
        <f>TEXT(Таблица8[[#This Row],[Дата]],"М")</f>
        <v>1</v>
      </c>
      <c r="D75" s="144">
        <v>44579</v>
      </c>
      <c r="E75" s="143" t="s">
        <v>72</v>
      </c>
      <c r="F75" s="143" t="s">
        <v>43</v>
      </c>
      <c r="G75" s="147">
        <v>100</v>
      </c>
      <c r="H75" s="146"/>
      <c r="I75" s="142"/>
      <c r="J75" s="142"/>
    </row>
    <row r="76" spans="2:10" x14ac:dyDescent="0.2">
      <c r="B76" s="143">
        <f t="shared" si="1"/>
        <v>4</v>
      </c>
      <c r="C76" s="138" t="str">
        <f>TEXT(Таблица8[[#This Row],[Дата]],"М")</f>
        <v>1</v>
      </c>
      <c r="D76" s="144">
        <v>44579</v>
      </c>
      <c r="E76" s="143" t="s">
        <v>72</v>
      </c>
      <c r="F76" s="143" t="s">
        <v>40</v>
      </c>
      <c r="G76" s="147">
        <v>200</v>
      </c>
      <c r="H76" s="146"/>
      <c r="I76" s="142"/>
      <c r="J76" s="142"/>
    </row>
    <row r="77" spans="2:10" x14ac:dyDescent="0.2">
      <c r="B77" s="137">
        <f t="shared" si="1"/>
        <v>4</v>
      </c>
      <c r="C77" s="138" t="str">
        <f>TEXT(Таблица8[[#This Row],[Дата]],"М")</f>
        <v>1</v>
      </c>
      <c r="D77" s="139">
        <v>44580</v>
      </c>
      <c r="E77" s="137" t="s">
        <v>71</v>
      </c>
      <c r="F77" s="137" t="s">
        <v>94</v>
      </c>
      <c r="G77" s="140">
        <v>28</v>
      </c>
      <c r="H77" s="141"/>
      <c r="I77" s="142"/>
      <c r="J77" s="142"/>
    </row>
    <row r="78" spans="2:10" x14ac:dyDescent="0.2">
      <c r="B78" s="143">
        <f t="shared" si="1"/>
        <v>4</v>
      </c>
      <c r="C78" s="138" t="str">
        <f>TEXT(Таблица8[[#This Row],[Дата]],"М")</f>
        <v>1</v>
      </c>
      <c r="D78" s="144">
        <v>44580</v>
      </c>
      <c r="E78" s="143" t="s">
        <v>20</v>
      </c>
      <c r="F78" s="143" t="s">
        <v>99</v>
      </c>
      <c r="G78" s="147">
        <f>17+56</f>
        <v>73</v>
      </c>
      <c r="H78" s="146"/>
      <c r="I78" s="142"/>
      <c r="J78" s="142"/>
    </row>
    <row r="79" spans="2:10" x14ac:dyDescent="0.2">
      <c r="B79" s="143">
        <f t="shared" si="1"/>
        <v>4</v>
      </c>
      <c r="C79" s="138" t="str">
        <f>TEXT(Таблица8[[#This Row],[Дата]],"М")</f>
        <v>1</v>
      </c>
      <c r="D79" s="144">
        <v>44580</v>
      </c>
      <c r="E79" s="143" t="s">
        <v>30</v>
      </c>
      <c r="F79" s="143" t="s">
        <v>98</v>
      </c>
      <c r="G79" s="147">
        <v>340</v>
      </c>
      <c r="H79" s="146"/>
      <c r="I79" s="142"/>
      <c r="J79" s="142"/>
    </row>
    <row r="80" spans="2:10" x14ac:dyDescent="0.2">
      <c r="B80" s="143">
        <f t="shared" si="1"/>
        <v>4</v>
      </c>
      <c r="C80" s="138" t="str">
        <f>TEXT(Таблица8[[#This Row],[Дата]],"М")</f>
        <v>1</v>
      </c>
      <c r="D80" s="144">
        <v>44580</v>
      </c>
      <c r="E80" s="143" t="s">
        <v>72</v>
      </c>
      <c r="F80" s="143" t="s">
        <v>43</v>
      </c>
      <c r="G80" s="147">
        <v>41</v>
      </c>
      <c r="H80" s="146"/>
      <c r="I80" s="142"/>
      <c r="J80" s="142"/>
    </row>
    <row r="81" spans="2:10" x14ac:dyDescent="0.2">
      <c r="B81" s="137">
        <f t="shared" si="1"/>
        <v>4</v>
      </c>
      <c r="C81" s="138" t="str">
        <f>TEXT(Таблица8[[#This Row],[Дата]],"М")</f>
        <v>1</v>
      </c>
      <c r="D81" s="139">
        <v>44581</v>
      </c>
      <c r="E81" s="137" t="s">
        <v>72</v>
      </c>
      <c r="F81" s="137" t="s">
        <v>43</v>
      </c>
      <c r="G81" s="140">
        <v>121</v>
      </c>
      <c r="H81" s="141"/>
      <c r="I81" s="142"/>
      <c r="J81" s="142"/>
    </row>
    <row r="82" spans="2:10" x14ac:dyDescent="0.2">
      <c r="B82" s="143">
        <f t="shared" si="1"/>
        <v>4</v>
      </c>
      <c r="C82" s="138" t="str">
        <f>TEXT(Таблица8[[#This Row],[Дата]],"М")</f>
        <v>1</v>
      </c>
      <c r="D82" s="144">
        <v>44581</v>
      </c>
      <c r="E82" s="143" t="s">
        <v>20</v>
      </c>
      <c r="F82" s="143" t="s">
        <v>99</v>
      </c>
      <c r="G82" s="147">
        <v>51</v>
      </c>
      <c r="H82" s="146"/>
      <c r="I82" s="142"/>
      <c r="J82" s="142"/>
    </row>
    <row r="83" spans="2:10" x14ac:dyDescent="0.2">
      <c r="B83" s="143">
        <f t="shared" si="1"/>
        <v>4</v>
      </c>
      <c r="C83" s="138" t="str">
        <f>TEXT(Таблица8[[#This Row],[Дата]],"М")</f>
        <v>1</v>
      </c>
      <c r="D83" s="144">
        <v>44581</v>
      </c>
      <c r="E83" s="143" t="s">
        <v>19</v>
      </c>
      <c r="F83" s="143" t="s">
        <v>96</v>
      </c>
      <c r="G83" s="147">
        <f>334+36</f>
        <v>370</v>
      </c>
      <c r="H83" s="146"/>
      <c r="I83" s="142"/>
      <c r="J83" s="142"/>
    </row>
    <row r="84" spans="2:10" x14ac:dyDescent="0.2">
      <c r="B84" s="143">
        <f t="shared" si="1"/>
        <v>4</v>
      </c>
      <c r="C84" s="138" t="str">
        <f>TEXT(Таблица8[[#This Row],[Дата]],"М")</f>
        <v>1</v>
      </c>
      <c r="D84" s="144">
        <v>44581</v>
      </c>
      <c r="E84" s="143" t="s">
        <v>22</v>
      </c>
      <c r="F84" s="143" t="s">
        <v>104</v>
      </c>
      <c r="G84" s="147">
        <v>250</v>
      </c>
      <c r="H84" s="146"/>
      <c r="I84" s="142"/>
      <c r="J84" s="142"/>
    </row>
    <row r="85" spans="2:10" x14ac:dyDescent="0.2">
      <c r="B85" s="137">
        <f t="shared" si="1"/>
        <v>4</v>
      </c>
      <c r="C85" s="138" t="str">
        <f>TEXT(Таблица8[[#This Row],[Дата]],"М")</f>
        <v>1</v>
      </c>
      <c r="D85" s="139">
        <v>44582</v>
      </c>
      <c r="E85" s="137" t="s">
        <v>72</v>
      </c>
      <c r="F85" s="137" t="s">
        <v>43</v>
      </c>
      <c r="G85" s="140">
        <v>15</v>
      </c>
      <c r="H85" s="141"/>
      <c r="I85" s="142"/>
      <c r="J85" s="142"/>
    </row>
    <row r="86" spans="2:10" x14ac:dyDescent="0.2">
      <c r="B86" s="143">
        <f t="shared" si="1"/>
        <v>4</v>
      </c>
      <c r="C86" s="138" t="str">
        <f>TEXT(Таблица8[[#This Row],[Дата]],"М")</f>
        <v>1</v>
      </c>
      <c r="D86" s="144">
        <v>44582</v>
      </c>
      <c r="E86" s="143" t="s">
        <v>20</v>
      </c>
      <c r="F86" s="143" t="s">
        <v>99</v>
      </c>
      <c r="G86" s="147">
        <v>40</v>
      </c>
      <c r="H86" s="146"/>
      <c r="I86" s="142"/>
      <c r="J86" s="142"/>
    </row>
    <row r="87" spans="2:10" x14ac:dyDescent="0.2">
      <c r="B87" s="143">
        <f t="shared" si="1"/>
        <v>4</v>
      </c>
      <c r="C87" s="138" t="str">
        <f>TEXT(Таблица8[[#This Row],[Дата]],"М")</f>
        <v>1</v>
      </c>
      <c r="D87" s="144">
        <v>44582</v>
      </c>
      <c r="E87" s="143" t="s">
        <v>19</v>
      </c>
      <c r="F87" s="143" t="s">
        <v>96</v>
      </c>
      <c r="G87" s="147">
        <v>39</v>
      </c>
      <c r="H87" s="146"/>
      <c r="I87" s="142"/>
      <c r="J87" s="142"/>
    </row>
    <row r="88" spans="2:10" x14ac:dyDescent="0.2">
      <c r="B88" s="143">
        <f t="shared" si="1"/>
        <v>4</v>
      </c>
      <c r="C88" s="138" t="str">
        <f>TEXT(Таблица8[[#This Row],[Дата]],"М")</f>
        <v>1</v>
      </c>
      <c r="D88" s="144">
        <v>44582</v>
      </c>
      <c r="E88" s="143" t="s">
        <v>29</v>
      </c>
      <c r="F88" s="143" t="s">
        <v>105</v>
      </c>
      <c r="G88" s="147">
        <v>200</v>
      </c>
      <c r="H88" s="146"/>
      <c r="I88" s="142"/>
      <c r="J88" s="142"/>
    </row>
    <row r="89" spans="2:10" x14ac:dyDescent="0.2">
      <c r="B89" s="137">
        <f t="shared" si="1"/>
        <v>4</v>
      </c>
      <c r="C89" s="138" t="str">
        <f>TEXT(Таблица8[[#This Row],[Дата]],"М")</f>
        <v>1</v>
      </c>
      <c r="D89" s="139">
        <v>44583</v>
      </c>
      <c r="E89" s="137" t="s">
        <v>72</v>
      </c>
      <c r="F89" s="137" t="s">
        <v>43</v>
      </c>
      <c r="G89" s="140">
        <v>22</v>
      </c>
      <c r="H89" s="141"/>
      <c r="I89" s="142"/>
      <c r="J89" s="142"/>
    </row>
    <row r="90" spans="2:10" x14ac:dyDescent="0.2">
      <c r="B90" s="143">
        <f t="shared" si="1"/>
        <v>4</v>
      </c>
      <c r="C90" s="138" t="str">
        <f>TEXT(Таблица8[[#This Row],[Дата]],"М")</f>
        <v>1</v>
      </c>
      <c r="D90" s="144">
        <v>44583</v>
      </c>
      <c r="E90" s="143" t="s">
        <v>71</v>
      </c>
      <c r="F90" s="143" t="s">
        <v>94</v>
      </c>
      <c r="G90" s="147">
        <f>28+28</f>
        <v>56</v>
      </c>
      <c r="H90" s="146"/>
      <c r="I90" s="142"/>
      <c r="J90" s="142"/>
    </row>
    <row r="91" spans="2:10" x14ac:dyDescent="0.2">
      <c r="B91" s="143">
        <f t="shared" si="1"/>
        <v>4</v>
      </c>
      <c r="C91" s="138" t="str">
        <f>TEXT(Таблица8[[#This Row],[Дата]],"М")</f>
        <v>1</v>
      </c>
      <c r="D91" s="144">
        <v>44583</v>
      </c>
      <c r="E91" s="143" t="s">
        <v>22</v>
      </c>
      <c r="F91" s="143" t="s">
        <v>104</v>
      </c>
      <c r="G91" s="147">
        <v>1500</v>
      </c>
      <c r="H91" s="146" t="s">
        <v>106</v>
      </c>
      <c r="I91" s="142"/>
      <c r="J91" s="142"/>
    </row>
    <row r="92" spans="2:10" x14ac:dyDescent="0.2">
      <c r="B92" s="137">
        <f t="shared" si="1"/>
        <v>5</v>
      </c>
      <c r="C92" s="138" t="str">
        <f>TEXT(Таблица8[[#This Row],[Дата]],"М")</f>
        <v>1</v>
      </c>
      <c r="D92" s="139">
        <v>44584</v>
      </c>
      <c r="E92" s="137" t="s">
        <v>72</v>
      </c>
      <c r="F92" s="137" t="s">
        <v>43</v>
      </c>
      <c r="G92" s="140">
        <v>23</v>
      </c>
      <c r="H92" s="141"/>
      <c r="I92" s="142"/>
      <c r="J92" s="142"/>
    </row>
    <row r="93" spans="2:10" x14ac:dyDescent="0.2">
      <c r="B93" s="143">
        <f t="shared" si="1"/>
        <v>5</v>
      </c>
      <c r="C93" s="138" t="str">
        <f>TEXT(Таблица8[[#This Row],[Дата]],"М")</f>
        <v>1</v>
      </c>
      <c r="D93" s="144">
        <v>44584</v>
      </c>
      <c r="E93" s="143" t="s">
        <v>29</v>
      </c>
      <c r="F93" s="143" t="s">
        <v>107</v>
      </c>
      <c r="G93" s="147">
        <v>230</v>
      </c>
      <c r="H93" s="146"/>
      <c r="I93" s="142"/>
      <c r="J93" s="142"/>
    </row>
    <row r="94" spans="2:10" x14ac:dyDescent="0.2">
      <c r="B94" s="137">
        <f t="shared" si="1"/>
        <v>5</v>
      </c>
      <c r="C94" s="138" t="str">
        <f>TEXT(Таблица8[[#This Row],[Дата]],"М")</f>
        <v>1</v>
      </c>
      <c r="D94" s="139">
        <v>44585</v>
      </c>
      <c r="E94" s="137" t="s">
        <v>72</v>
      </c>
      <c r="F94" s="137" t="s">
        <v>43</v>
      </c>
      <c r="G94" s="140">
        <v>10</v>
      </c>
      <c r="H94" s="141"/>
      <c r="I94" s="142"/>
      <c r="J94" s="142"/>
    </row>
    <row r="95" spans="2:10" x14ac:dyDescent="0.2">
      <c r="B95" s="143">
        <f t="shared" si="1"/>
        <v>5</v>
      </c>
      <c r="C95" s="138" t="str">
        <f>TEXT(Таблица8[[#This Row],[Дата]],"М")</f>
        <v>1</v>
      </c>
      <c r="D95" s="144">
        <v>44585</v>
      </c>
      <c r="E95" s="143" t="s">
        <v>20</v>
      </c>
      <c r="F95" s="143" t="s">
        <v>99</v>
      </c>
      <c r="G95" s="147">
        <v>177</v>
      </c>
      <c r="H95" s="146"/>
      <c r="I95" s="142"/>
      <c r="J95" s="142"/>
    </row>
    <row r="96" spans="2:10" x14ac:dyDescent="0.2">
      <c r="B96" s="143">
        <f t="shared" si="1"/>
        <v>5</v>
      </c>
      <c r="C96" s="138" t="str">
        <f>TEXT(Таблица8[[#This Row],[Дата]],"М")</f>
        <v>1</v>
      </c>
      <c r="D96" s="144">
        <v>44585</v>
      </c>
      <c r="E96" s="143" t="s">
        <v>19</v>
      </c>
      <c r="F96" s="143" t="s">
        <v>96</v>
      </c>
      <c r="G96" s="147">
        <v>144</v>
      </c>
      <c r="H96" s="146"/>
      <c r="I96" s="142"/>
      <c r="J96" s="142"/>
    </row>
    <row r="97" spans="2:10" x14ac:dyDescent="0.2">
      <c r="B97" s="137">
        <f t="shared" si="1"/>
        <v>5</v>
      </c>
      <c r="C97" s="138" t="str">
        <f>TEXT(Таблица8[[#This Row],[Дата]],"М")</f>
        <v>1</v>
      </c>
      <c r="D97" s="139">
        <v>44586</v>
      </c>
      <c r="E97" s="137" t="s">
        <v>20</v>
      </c>
      <c r="F97" s="137" t="s">
        <v>99</v>
      </c>
      <c r="G97" s="140">
        <v>101</v>
      </c>
      <c r="H97" s="141"/>
      <c r="I97" s="142"/>
      <c r="J97" s="142"/>
    </row>
    <row r="98" spans="2:10" x14ac:dyDescent="0.2">
      <c r="B98" s="143">
        <f t="shared" si="1"/>
        <v>5</v>
      </c>
      <c r="C98" s="138" t="str">
        <f>TEXT(Таблица8[[#This Row],[Дата]],"М")</f>
        <v>1</v>
      </c>
      <c r="D98" s="144">
        <v>44586</v>
      </c>
      <c r="E98" s="143" t="s">
        <v>71</v>
      </c>
      <c r="F98" s="143" t="s">
        <v>94</v>
      </c>
      <c r="G98" s="147">
        <v>28</v>
      </c>
      <c r="H98" s="146"/>
      <c r="I98" s="142"/>
      <c r="J98" s="142"/>
    </row>
    <row r="99" spans="2:10" x14ac:dyDescent="0.2">
      <c r="B99" s="137">
        <f t="shared" si="1"/>
        <v>5</v>
      </c>
      <c r="C99" s="138" t="str">
        <f>TEXT(Таблица8[[#This Row],[Дата]],"М")</f>
        <v>1</v>
      </c>
      <c r="D99" s="139">
        <v>44587</v>
      </c>
      <c r="E99" s="137" t="s">
        <v>72</v>
      </c>
      <c r="F99" s="137" t="s">
        <v>43</v>
      </c>
      <c r="G99" s="140">
        <v>10</v>
      </c>
      <c r="H99" s="141"/>
      <c r="I99" s="142"/>
      <c r="J99" s="142"/>
    </row>
    <row r="100" spans="2:10" x14ac:dyDescent="0.2">
      <c r="B100" s="143">
        <f t="shared" si="1"/>
        <v>5</v>
      </c>
      <c r="C100" s="138" t="str">
        <f>TEXT(Таблица8[[#This Row],[Дата]],"М")</f>
        <v>1</v>
      </c>
      <c r="D100" s="144">
        <v>44587</v>
      </c>
      <c r="E100" s="143" t="s">
        <v>20</v>
      </c>
      <c r="F100" s="143" t="s">
        <v>99</v>
      </c>
      <c r="G100" s="147">
        <v>51</v>
      </c>
      <c r="H100" s="146"/>
      <c r="I100" s="142"/>
      <c r="J100" s="142"/>
    </row>
    <row r="101" spans="2:10" x14ac:dyDescent="0.2">
      <c r="B101" s="143">
        <f t="shared" si="1"/>
        <v>5</v>
      </c>
      <c r="C101" s="138" t="str">
        <f>TEXT(Таблица8[[#This Row],[Дата]],"М")</f>
        <v>1</v>
      </c>
      <c r="D101" s="144">
        <v>44587</v>
      </c>
      <c r="E101" s="143" t="s">
        <v>19</v>
      </c>
      <c r="F101" s="143" t="s">
        <v>96</v>
      </c>
      <c r="G101" s="147">
        <v>103</v>
      </c>
      <c r="H101" s="146"/>
      <c r="I101" s="142"/>
      <c r="J101" s="142"/>
    </row>
    <row r="102" spans="2:10" x14ac:dyDescent="0.2">
      <c r="B102" s="137">
        <f t="shared" si="1"/>
        <v>5</v>
      </c>
      <c r="C102" s="138" t="str">
        <f>TEXT(Таблица8[[#This Row],[Дата]],"М")</f>
        <v>1</v>
      </c>
      <c r="D102" s="139">
        <v>44589</v>
      </c>
      <c r="E102" s="137" t="s">
        <v>20</v>
      </c>
      <c r="F102" s="137" t="s">
        <v>95</v>
      </c>
      <c r="G102" s="140">
        <v>63</v>
      </c>
      <c r="H102" s="141"/>
      <c r="I102" s="142"/>
      <c r="J102" s="142"/>
    </row>
    <row r="103" spans="2:10" x14ac:dyDescent="0.2">
      <c r="B103" s="143">
        <f t="shared" si="1"/>
        <v>5</v>
      </c>
      <c r="C103" s="138" t="str">
        <f>TEXT(Таблица8[[#This Row],[Дата]],"М")</f>
        <v>1</v>
      </c>
      <c r="D103" s="144">
        <v>44589</v>
      </c>
      <c r="E103" s="143" t="s">
        <v>72</v>
      </c>
      <c r="F103" s="143" t="s">
        <v>43</v>
      </c>
      <c r="G103" s="147">
        <v>395</v>
      </c>
      <c r="H103" s="146"/>
      <c r="I103" s="142"/>
      <c r="J103" s="142"/>
    </row>
    <row r="104" spans="2:10" x14ac:dyDescent="0.2">
      <c r="B104" s="143">
        <f t="shared" si="1"/>
        <v>5</v>
      </c>
      <c r="C104" s="138" t="str">
        <f>TEXT(Таблица8[[#This Row],[Дата]],"М")</f>
        <v>1</v>
      </c>
      <c r="D104" s="144">
        <v>44589</v>
      </c>
      <c r="E104" s="143" t="s">
        <v>71</v>
      </c>
      <c r="F104" s="143" t="s">
        <v>108</v>
      </c>
      <c r="G104" s="147">
        <v>32</v>
      </c>
      <c r="H104" s="146"/>
      <c r="I104" s="142"/>
      <c r="J104" s="142"/>
    </row>
    <row r="105" spans="2:10" x14ac:dyDescent="0.2">
      <c r="B105" s="143">
        <f t="shared" si="1"/>
        <v>5</v>
      </c>
      <c r="C105" s="138" t="str">
        <f>TEXT(Таблица8[[#This Row],[Дата]],"М")</f>
        <v>1</v>
      </c>
      <c r="D105" s="144">
        <v>44589</v>
      </c>
      <c r="E105" s="143" t="s">
        <v>72</v>
      </c>
      <c r="F105" s="143" t="s">
        <v>40</v>
      </c>
      <c r="G105" s="147">
        <v>500</v>
      </c>
      <c r="H105" s="146"/>
      <c r="I105" s="142"/>
      <c r="J105" s="142"/>
    </row>
    <row r="106" spans="2:10" x14ac:dyDescent="0.2">
      <c r="B106" s="143">
        <f t="shared" si="1"/>
        <v>5</v>
      </c>
      <c r="C106" s="138" t="str">
        <f>TEXT(Таблица8[[#This Row],[Дата]],"М")</f>
        <v>1</v>
      </c>
      <c r="D106" s="144">
        <v>44589</v>
      </c>
      <c r="E106" s="143" t="s">
        <v>22</v>
      </c>
      <c r="F106" s="143" t="s">
        <v>38</v>
      </c>
      <c r="G106" s="147">
        <v>475</v>
      </c>
      <c r="H106" s="146" t="s">
        <v>109</v>
      </c>
      <c r="I106" s="142"/>
      <c r="J106" s="142"/>
    </row>
    <row r="107" spans="2:10" x14ac:dyDescent="0.2">
      <c r="B107" s="143">
        <f t="shared" si="1"/>
        <v>5</v>
      </c>
      <c r="C107" s="138" t="str">
        <f>TEXT(Таблица8[[#This Row],[Дата]],"М")</f>
        <v>1</v>
      </c>
      <c r="D107" s="144">
        <v>44589</v>
      </c>
      <c r="E107" s="143" t="s">
        <v>20</v>
      </c>
      <c r="F107" s="143" t="s">
        <v>95</v>
      </c>
      <c r="G107" s="147">
        <v>100</v>
      </c>
      <c r="H107" s="146"/>
      <c r="I107" s="142"/>
      <c r="J107" s="142"/>
    </row>
    <row r="108" spans="2:10" x14ac:dyDescent="0.2">
      <c r="B108" s="143">
        <f t="shared" si="1"/>
        <v>5</v>
      </c>
      <c r="C108" s="138" t="str">
        <f>TEXT(Таблица8[[#This Row],[Дата]],"М")</f>
        <v>1</v>
      </c>
      <c r="D108" s="144">
        <v>44589</v>
      </c>
      <c r="E108" s="143" t="s">
        <v>71</v>
      </c>
      <c r="F108" s="143" t="s">
        <v>94</v>
      </c>
      <c r="G108" s="147">
        <v>28</v>
      </c>
      <c r="H108" s="146"/>
      <c r="I108" s="142"/>
      <c r="J108" s="142"/>
    </row>
    <row r="109" spans="2:10" x14ac:dyDescent="0.2">
      <c r="B109" s="137">
        <f t="shared" si="1"/>
        <v>5</v>
      </c>
      <c r="C109" s="138" t="str">
        <f>TEXT(Таблица8[[#This Row],[Дата]],"М")</f>
        <v>1</v>
      </c>
      <c r="D109" s="139">
        <v>44590</v>
      </c>
      <c r="E109" s="137" t="s">
        <v>72</v>
      </c>
      <c r="F109" s="137" t="s">
        <v>43</v>
      </c>
      <c r="G109" s="140">
        <v>30</v>
      </c>
      <c r="H109" s="141"/>
      <c r="I109" s="142"/>
      <c r="J109" s="142"/>
    </row>
    <row r="110" spans="2:10" x14ac:dyDescent="0.2">
      <c r="B110" s="143">
        <f t="shared" si="1"/>
        <v>5</v>
      </c>
      <c r="C110" s="138" t="str">
        <f>TEXT(Таблица8[[#This Row],[Дата]],"М")</f>
        <v>1</v>
      </c>
      <c r="D110" s="144">
        <v>44590</v>
      </c>
      <c r="E110" s="143" t="s">
        <v>71</v>
      </c>
      <c r="F110" s="143" t="s">
        <v>91</v>
      </c>
      <c r="G110" s="147">
        <f>233+11</f>
        <v>244</v>
      </c>
      <c r="H110" s="146"/>
      <c r="I110" s="142"/>
      <c r="J110" s="142"/>
    </row>
    <row r="111" spans="2:10" x14ac:dyDescent="0.2">
      <c r="B111" s="143">
        <f t="shared" si="1"/>
        <v>5</v>
      </c>
      <c r="C111" s="138" t="str">
        <f>TEXT(Таблица8[[#This Row],[Дата]],"М")</f>
        <v>1</v>
      </c>
      <c r="D111" s="144">
        <v>44590</v>
      </c>
      <c r="E111" s="143" t="s">
        <v>71</v>
      </c>
      <c r="F111" s="143" t="s">
        <v>94</v>
      </c>
      <c r="G111" s="147">
        <v>28</v>
      </c>
      <c r="H111" s="146"/>
      <c r="I111" s="142"/>
      <c r="J111" s="142"/>
    </row>
    <row r="112" spans="2:10" x14ac:dyDescent="0.2">
      <c r="B112" s="143">
        <f t="shared" si="1"/>
        <v>5</v>
      </c>
      <c r="C112" s="138" t="str">
        <f>TEXT(Таблица8[[#This Row],[Дата]],"М")</f>
        <v>1</v>
      </c>
      <c r="D112" s="144">
        <v>44590</v>
      </c>
      <c r="E112" s="143" t="s">
        <v>20</v>
      </c>
      <c r="F112" s="143" t="s">
        <v>99</v>
      </c>
      <c r="G112" s="147">
        <v>111</v>
      </c>
      <c r="H112" s="146"/>
      <c r="I112" s="142"/>
      <c r="J112" s="142"/>
    </row>
    <row r="113" spans="2:10" x14ac:dyDescent="0.2">
      <c r="B113" s="143">
        <f t="shared" si="1"/>
        <v>5</v>
      </c>
      <c r="C113" s="138" t="str">
        <f>TEXT(Таблица8[[#This Row],[Дата]],"М")</f>
        <v>1</v>
      </c>
      <c r="D113" s="144">
        <v>44590</v>
      </c>
      <c r="E113" s="143" t="s">
        <v>19</v>
      </c>
      <c r="F113" s="143" t="s">
        <v>96</v>
      </c>
      <c r="G113" s="147">
        <v>285</v>
      </c>
      <c r="H113" s="146"/>
      <c r="I113" s="142"/>
      <c r="J113" s="142"/>
    </row>
    <row r="114" spans="2:10" x14ac:dyDescent="0.2">
      <c r="B114" s="137">
        <f t="shared" si="1"/>
        <v>6</v>
      </c>
      <c r="C114" s="138" t="str">
        <f>TEXT(Таблица8[[#This Row],[Дата]],"М")</f>
        <v>1</v>
      </c>
      <c r="D114" s="139">
        <v>44591</v>
      </c>
      <c r="E114" s="137" t="s">
        <v>23</v>
      </c>
      <c r="F114" s="137" t="s">
        <v>103</v>
      </c>
      <c r="G114" s="140">
        <v>288</v>
      </c>
      <c r="H114" s="141"/>
      <c r="I114" s="142"/>
      <c r="J114" s="142"/>
    </row>
    <row r="115" spans="2:10" x14ac:dyDescent="0.2">
      <c r="B115" s="143">
        <f t="shared" si="1"/>
        <v>6</v>
      </c>
      <c r="C115" s="138" t="str">
        <f>TEXT(Таблица8[[#This Row],[Дата]],"М")</f>
        <v>1</v>
      </c>
      <c r="D115" s="144">
        <v>44591</v>
      </c>
      <c r="E115" s="143" t="s">
        <v>19</v>
      </c>
      <c r="F115" s="143" t="s">
        <v>96</v>
      </c>
      <c r="G115" s="147">
        <f>508+53</f>
        <v>561</v>
      </c>
      <c r="H115" s="146"/>
      <c r="I115" s="142"/>
      <c r="J115" s="142"/>
    </row>
    <row r="116" spans="2:10" x14ac:dyDescent="0.2">
      <c r="B116" s="137">
        <f t="shared" si="1"/>
        <v>6</v>
      </c>
      <c r="C116" s="138" t="str">
        <f>TEXT(Таблица8[[#This Row],[Дата]],"М")</f>
        <v>1</v>
      </c>
      <c r="D116" s="139">
        <v>44592</v>
      </c>
      <c r="E116" s="137" t="s">
        <v>72</v>
      </c>
      <c r="F116" s="137" t="s">
        <v>40</v>
      </c>
      <c r="G116" s="140">
        <v>150</v>
      </c>
      <c r="H116" s="141"/>
      <c r="I116" s="142"/>
      <c r="J116" s="142"/>
    </row>
    <row r="117" spans="2:10" x14ac:dyDescent="0.2">
      <c r="B117" s="143">
        <f t="shared" si="1"/>
        <v>6</v>
      </c>
      <c r="C117" s="138" t="str">
        <f>TEXT(Таблица8[[#This Row],[Дата]],"М")</f>
        <v>1</v>
      </c>
      <c r="D117" s="144">
        <v>44592</v>
      </c>
      <c r="E117" s="143" t="s">
        <v>72</v>
      </c>
      <c r="F117" s="143" t="s">
        <v>43</v>
      </c>
      <c r="G117" s="147">
        <v>32</v>
      </c>
      <c r="H117" s="146"/>
      <c r="I117" s="142"/>
      <c r="J117" s="142"/>
    </row>
    <row r="118" spans="2:10" x14ac:dyDescent="0.2">
      <c r="B118" s="143">
        <f t="shared" si="1"/>
        <v>6</v>
      </c>
      <c r="C118" s="138" t="str">
        <f>TEXT(Таблица8[[#This Row],[Дата]],"М")</f>
        <v>1</v>
      </c>
      <c r="D118" s="144">
        <v>44592</v>
      </c>
      <c r="E118" s="143" t="s">
        <v>71</v>
      </c>
      <c r="F118" s="143" t="s">
        <v>94</v>
      </c>
      <c r="G118" s="147">
        <v>28</v>
      </c>
      <c r="H118" s="146"/>
      <c r="I118" s="142"/>
      <c r="J118" s="142"/>
    </row>
    <row r="119" spans="2:10" x14ac:dyDescent="0.2">
      <c r="B119" s="143">
        <f t="shared" si="1"/>
        <v>6</v>
      </c>
      <c r="C119" s="138" t="str">
        <f>TEXT(Таблица8[[#This Row],[Дата]],"М")</f>
        <v>1</v>
      </c>
      <c r="D119" s="144">
        <v>44592</v>
      </c>
      <c r="E119" s="143" t="s">
        <v>20</v>
      </c>
      <c r="F119" s="143" t="s">
        <v>95</v>
      </c>
      <c r="G119" s="147">
        <f>100+83</f>
        <v>183</v>
      </c>
      <c r="H119" s="146"/>
      <c r="I119" s="142"/>
      <c r="J119" s="142"/>
    </row>
    <row r="120" spans="2:10" x14ac:dyDescent="0.2">
      <c r="B120" s="143">
        <f t="shared" si="1"/>
        <v>6</v>
      </c>
      <c r="C120" s="138" t="str">
        <f>TEXT(Таблица8[[#This Row],[Дата]],"М")</f>
        <v>1</v>
      </c>
      <c r="D120" s="144">
        <v>44592</v>
      </c>
      <c r="E120" s="143" t="s">
        <v>20</v>
      </c>
      <c r="F120" s="143" t="s">
        <v>99</v>
      </c>
      <c r="G120" s="147">
        <v>144</v>
      </c>
      <c r="H120" s="146"/>
      <c r="I120" s="142"/>
      <c r="J120" s="142"/>
    </row>
    <row r="121" spans="2:10" x14ac:dyDescent="0.2">
      <c r="B121" s="137">
        <f t="shared" si="1"/>
        <v>6</v>
      </c>
      <c r="C121" s="138" t="str">
        <f>TEXT(Таблица8[[#This Row],[Дата]],"М")</f>
        <v>2</v>
      </c>
      <c r="D121" s="139">
        <v>44593</v>
      </c>
      <c r="E121" s="137" t="s">
        <v>72</v>
      </c>
      <c r="F121" s="137" t="s">
        <v>43</v>
      </c>
      <c r="G121" s="140">
        <v>36</v>
      </c>
      <c r="H121" s="141" t="s">
        <v>110</v>
      </c>
      <c r="I121" s="142"/>
      <c r="J121" s="142"/>
    </row>
    <row r="122" spans="2:10" x14ac:dyDescent="0.2">
      <c r="B122" s="143">
        <f t="shared" si="1"/>
        <v>6</v>
      </c>
      <c r="C122" s="138" t="str">
        <f>TEXT(Таблица8[[#This Row],[Дата]],"М")</f>
        <v>2</v>
      </c>
      <c r="D122" s="144">
        <v>44593</v>
      </c>
      <c r="E122" s="143" t="s">
        <v>71</v>
      </c>
      <c r="F122" s="143" t="s">
        <v>91</v>
      </c>
      <c r="G122" s="147">
        <v>179</v>
      </c>
      <c r="H122" s="146"/>
      <c r="I122" s="142"/>
      <c r="J122" s="142"/>
    </row>
    <row r="123" spans="2:10" x14ac:dyDescent="0.2">
      <c r="B123" s="143">
        <f t="shared" si="1"/>
        <v>6</v>
      </c>
      <c r="C123" s="138" t="str">
        <f>TEXT(Таблица8[[#This Row],[Дата]],"М")</f>
        <v>2</v>
      </c>
      <c r="D123" s="144">
        <v>44593</v>
      </c>
      <c r="E123" s="143" t="s">
        <v>71</v>
      </c>
      <c r="F123" s="143" t="s">
        <v>94</v>
      </c>
      <c r="G123" s="147">
        <v>28</v>
      </c>
      <c r="H123" s="146"/>
      <c r="I123" s="142"/>
      <c r="J123" s="142"/>
    </row>
    <row r="124" spans="2:10" x14ac:dyDescent="0.2">
      <c r="B124" s="143">
        <f t="shared" si="1"/>
        <v>6</v>
      </c>
      <c r="C124" s="138" t="str">
        <f>TEXT(Таблица8[[#This Row],[Дата]],"М")</f>
        <v>2</v>
      </c>
      <c r="D124" s="144">
        <v>44593</v>
      </c>
      <c r="E124" s="143" t="s">
        <v>20</v>
      </c>
      <c r="F124" s="143" t="s">
        <v>99</v>
      </c>
      <c r="G124" s="147">
        <v>140</v>
      </c>
      <c r="H124" s="146"/>
      <c r="I124" s="142"/>
      <c r="J124" s="142"/>
    </row>
    <row r="125" spans="2:10" x14ac:dyDescent="0.2">
      <c r="B125" s="143">
        <f t="shared" si="1"/>
        <v>6</v>
      </c>
      <c r="C125" s="138" t="str">
        <f>TEXT(Таблица8[[#This Row],[Дата]],"М")</f>
        <v>2</v>
      </c>
      <c r="D125" s="144">
        <v>44593</v>
      </c>
      <c r="E125" s="143" t="s">
        <v>23</v>
      </c>
      <c r="F125" s="143" t="s">
        <v>111</v>
      </c>
      <c r="G125" s="147">
        <v>286</v>
      </c>
      <c r="H125" s="146"/>
      <c r="I125" s="142"/>
      <c r="J125" s="142"/>
    </row>
    <row r="126" spans="2:10" x14ac:dyDescent="0.2">
      <c r="B126" s="143">
        <f t="shared" si="1"/>
        <v>6</v>
      </c>
      <c r="C126" s="138" t="str">
        <f>TEXT(Таблица8[[#This Row],[Дата]],"М")</f>
        <v>2</v>
      </c>
      <c r="D126" s="144">
        <v>44593</v>
      </c>
      <c r="E126" s="143" t="s">
        <v>19</v>
      </c>
      <c r="F126" s="143" t="s">
        <v>96</v>
      </c>
      <c r="G126" s="147">
        <f>200+306</f>
        <v>506</v>
      </c>
      <c r="H126" s="146"/>
      <c r="I126" s="142"/>
      <c r="J126" s="142"/>
    </row>
    <row r="127" spans="2:10" x14ac:dyDescent="0.2">
      <c r="B127" s="143">
        <f t="shared" ref="B127:B190" si="2">WEEKNUM(D127)</f>
        <v>6</v>
      </c>
      <c r="C127" s="138" t="str">
        <f>TEXT(Таблица8[[#This Row],[Дата]],"М")</f>
        <v>2</v>
      </c>
      <c r="D127" s="144">
        <v>44593</v>
      </c>
      <c r="E127" s="143" t="s">
        <v>72</v>
      </c>
      <c r="F127" s="143" t="s">
        <v>40</v>
      </c>
      <c r="G127" s="147">
        <v>800</v>
      </c>
      <c r="H127" s="146"/>
      <c r="I127" s="142"/>
      <c r="J127" s="142"/>
    </row>
    <row r="128" spans="2:10" ht="14.25" customHeight="1" x14ac:dyDescent="0.2">
      <c r="B128" s="143">
        <f t="shared" si="2"/>
        <v>6</v>
      </c>
      <c r="C128" s="138" t="str">
        <f>TEXT(Таблица8[[#This Row],[Дата]],"М")</f>
        <v>2</v>
      </c>
      <c r="D128" s="144">
        <v>44593</v>
      </c>
      <c r="E128" s="143" t="s">
        <v>72</v>
      </c>
      <c r="F128" s="143" t="s">
        <v>44</v>
      </c>
      <c r="G128" s="147">
        <v>100</v>
      </c>
      <c r="H128" s="146"/>
      <c r="I128" s="142"/>
      <c r="J128" s="142"/>
    </row>
    <row r="129" spans="2:10" x14ac:dyDescent="0.2">
      <c r="B129" s="137">
        <f t="shared" si="2"/>
        <v>6</v>
      </c>
      <c r="C129" s="138" t="str">
        <f>TEXT(Таблица8[[#This Row],[Дата]],"М")</f>
        <v>2</v>
      </c>
      <c r="D129" s="139">
        <v>44594</v>
      </c>
      <c r="E129" s="137" t="s">
        <v>19</v>
      </c>
      <c r="F129" s="137" t="s">
        <v>96</v>
      </c>
      <c r="G129" s="140">
        <f>188+44</f>
        <v>232</v>
      </c>
      <c r="H129" s="141"/>
      <c r="I129" s="142"/>
      <c r="J129" s="142"/>
    </row>
    <row r="130" spans="2:10" x14ac:dyDescent="0.2">
      <c r="B130" s="143">
        <f t="shared" si="2"/>
        <v>6</v>
      </c>
      <c r="C130" s="138" t="str">
        <f>TEXT(Таблица8[[#This Row],[Дата]],"М")</f>
        <v>2</v>
      </c>
      <c r="D130" s="144">
        <v>44594</v>
      </c>
      <c r="E130" s="143" t="s">
        <v>72</v>
      </c>
      <c r="F130" s="143" t="s">
        <v>43</v>
      </c>
      <c r="G130" s="147">
        <v>38</v>
      </c>
      <c r="H130" s="146"/>
      <c r="I130" s="142"/>
      <c r="J130" s="142"/>
    </row>
    <row r="131" spans="2:10" x14ac:dyDescent="0.2">
      <c r="B131" s="137">
        <f t="shared" si="2"/>
        <v>6</v>
      </c>
      <c r="C131" s="138" t="str">
        <f>TEXT(Таблица8[[#This Row],[Дата]],"М")</f>
        <v>2</v>
      </c>
      <c r="D131" s="139">
        <v>44595</v>
      </c>
      <c r="E131" s="137" t="s">
        <v>19</v>
      </c>
      <c r="F131" s="137" t="s">
        <v>96</v>
      </c>
      <c r="G131" s="140">
        <v>60</v>
      </c>
      <c r="H131" s="141"/>
      <c r="I131" s="142"/>
      <c r="J131" s="142"/>
    </row>
    <row r="132" spans="2:10" x14ac:dyDescent="0.2">
      <c r="B132" s="143">
        <f t="shared" si="2"/>
        <v>6</v>
      </c>
      <c r="C132" s="138" t="str">
        <f>TEXT(Таблица8[[#This Row],[Дата]],"М")</f>
        <v>2</v>
      </c>
      <c r="D132" s="144">
        <v>44595</v>
      </c>
      <c r="E132" s="155" t="s">
        <v>20</v>
      </c>
      <c r="F132" s="155" t="s">
        <v>99</v>
      </c>
      <c r="G132" s="156">
        <v>160</v>
      </c>
      <c r="H132" s="157"/>
      <c r="I132" s="158"/>
      <c r="J132" s="158"/>
    </row>
    <row r="133" spans="2:10" ht="16.5" customHeight="1" x14ac:dyDescent="0.2">
      <c r="B133" s="143">
        <f t="shared" si="2"/>
        <v>6</v>
      </c>
      <c r="C133" s="138" t="str">
        <f>TEXT(Таблица8[[#This Row],[Дата]],"М")</f>
        <v>2</v>
      </c>
      <c r="D133" s="144">
        <v>44595</v>
      </c>
      <c r="E133" s="143" t="s">
        <v>71</v>
      </c>
      <c r="F133" s="143" t="s">
        <v>94</v>
      </c>
      <c r="G133" s="147">
        <v>28</v>
      </c>
      <c r="H133" s="146"/>
      <c r="I133" s="142"/>
      <c r="J133" s="142"/>
    </row>
    <row r="134" spans="2:10" x14ac:dyDescent="0.2">
      <c r="B134" s="137">
        <f t="shared" si="2"/>
        <v>6</v>
      </c>
      <c r="C134" s="138" t="str">
        <f>TEXT(Таблица8[[#This Row],[Дата]],"М")</f>
        <v>2</v>
      </c>
      <c r="D134" s="139">
        <v>44596</v>
      </c>
      <c r="E134" s="151" t="s">
        <v>19</v>
      </c>
      <c r="F134" s="151" t="s">
        <v>96</v>
      </c>
      <c r="G134" s="152">
        <v>90</v>
      </c>
      <c r="H134" s="153"/>
      <c r="I134" s="142"/>
      <c r="J134" s="142"/>
    </row>
    <row r="135" spans="2:10" x14ac:dyDescent="0.2">
      <c r="B135" s="143">
        <f t="shared" si="2"/>
        <v>6</v>
      </c>
      <c r="C135" s="138" t="str">
        <f>TEXT(Таблица8[[#This Row],[Дата]],"М")</f>
        <v>2</v>
      </c>
      <c r="D135" s="144">
        <v>44596</v>
      </c>
      <c r="E135" s="143" t="s">
        <v>20</v>
      </c>
      <c r="F135" s="143" t="s">
        <v>99</v>
      </c>
      <c r="G135" s="147">
        <v>160</v>
      </c>
      <c r="H135" s="146"/>
      <c r="I135" s="142"/>
      <c r="J135" s="142"/>
    </row>
    <row r="136" spans="2:10" x14ac:dyDescent="0.2">
      <c r="B136" s="143">
        <f t="shared" si="2"/>
        <v>6</v>
      </c>
      <c r="C136" s="138" t="str">
        <f>TEXT(Таблица8[[#This Row],[Дата]],"М")</f>
        <v>2</v>
      </c>
      <c r="D136" s="144">
        <v>44596</v>
      </c>
      <c r="E136" s="143" t="s">
        <v>72</v>
      </c>
      <c r="F136" s="143" t="s">
        <v>43</v>
      </c>
      <c r="G136" s="147">
        <f>40+26</f>
        <v>66</v>
      </c>
      <c r="H136" s="146"/>
      <c r="I136" s="142"/>
      <c r="J136" s="142"/>
    </row>
    <row r="137" spans="2:10" x14ac:dyDescent="0.2">
      <c r="B137" s="137">
        <f t="shared" si="2"/>
        <v>6</v>
      </c>
      <c r="C137" s="138" t="str">
        <f>TEXT(Таблица8[[#This Row],[Дата]],"М")</f>
        <v>2</v>
      </c>
      <c r="D137" s="139">
        <v>44597</v>
      </c>
      <c r="E137" s="137" t="s">
        <v>72</v>
      </c>
      <c r="F137" s="137" t="s">
        <v>43</v>
      </c>
      <c r="G137" s="140">
        <v>11</v>
      </c>
      <c r="H137" s="141"/>
      <c r="I137" s="142"/>
      <c r="J137" s="142"/>
    </row>
    <row r="138" spans="2:10" x14ac:dyDescent="0.2">
      <c r="B138" s="143">
        <f t="shared" si="2"/>
        <v>6</v>
      </c>
      <c r="C138" s="138" t="str">
        <f>TEXT(Таблица8[[#This Row],[Дата]],"М")</f>
        <v>2</v>
      </c>
      <c r="D138" s="144">
        <v>44597</v>
      </c>
      <c r="E138" s="143" t="s">
        <v>20</v>
      </c>
      <c r="F138" s="143" t="s">
        <v>99</v>
      </c>
      <c r="G138" s="147">
        <v>100</v>
      </c>
      <c r="H138" s="146"/>
      <c r="I138" s="142"/>
      <c r="J138" s="142"/>
    </row>
    <row r="139" spans="2:10" x14ac:dyDescent="0.2">
      <c r="B139" s="143">
        <f t="shared" si="2"/>
        <v>6</v>
      </c>
      <c r="C139" s="138" t="str">
        <f>TEXT(Таблица8[[#This Row],[Дата]],"М")</f>
        <v>2</v>
      </c>
      <c r="D139" s="144">
        <v>44597</v>
      </c>
      <c r="E139" s="143" t="s">
        <v>71</v>
      </c>
      <c r="F139" s="143" t="s">
        <v>94</v>
      </c>
      <c r="G139" s="147">
        <v>28</v>
      </c>
      <c r="H139" s="146"/>
      <c r="I139" s="142"/>
      <c r="J139" s="142"/>
    </row>
    <row r="140" spans="2:10" x14ac:dyDescent="0.2">
      <c r="B140" s="143">
        <f t="shared" si="2"/>
        <v>6</v>
      </c>
      <c r="C140" s="138" t="str">
        <f>TEXT(Таблица8[[#This Row],[Дата]],"М")</f>
        <v>2</v>
      </c>
      <c r="D140" s="144">
        <v>44597</v>
      </c>
      <c r="E140" s="143" t="s">
        <v>19</v>
      </c>
      <c r="F140" s="143" t="s">
        <v>96</v>
      </c>
      <c r="G140" s="147">
        <v>189</v>
      </c>
      <c r="H140" s="146"/>
      <c r="I140" s="142"/>
      <c r="J140" s="142"/>
    </row>
    <row r="141" spans="2:10" x14ac:dyDescent="0.2">
      <c r="B141" s="137">
        <f t="shared" si="2"/>
        <v>7</v>
      </c>
      <c r="C141" s="138" t="str">
        <f>TEXT(Таблица8[[#This Row],[Дата]],"М")</f>
        <v>2</v>
      </c>
      <c r="D141" s="139">
        <v>44598</v>
      </c>
      <c r="E141" s="137" t="s">
        <v>72</v>
      </c>
      <c r="F141" s="137" t="s">
        <v>43</v>
      </c>
      <c r="G141" s="152">
        <v>12</v>
      </c>
      <c r="H141" s="153"/>
      <c r="I141" s="142"/>
      <c r="J141" s="142"/>
    </row>
    <row r="142" spans="2:10" x14ac:dyDescent="0.2">
      <c r="B142" s="143">
        <f t="shared" si="2"/>
        <v>7</v>
      </c>
      <c r="C142" s="138" t="str">
        <f>TEXT(Таблица8[[#This Row],[Дата]],"М")</f>
        <v>2</v>
      </c>
      <c r="D142" s="144">
        <v>44598</v>
      </c>
      <c r="E142" s="143" t="s">
        <v>71</v>
      </c>
      <c r="F142" s="143" t="s">
        <v>94</v>
      </c>
      <c r="G142" s="147">
        <v>28</v>
      </c>
      <c r="H142" s="159"/>
    </row>
    <row r="143" spans="2:10" x14ac:dyDescent="0.2">
      <c r="B143" s="143">
        <f t="shared" si="2"/>
        <v>7</v>
      </c>
      <c r="C143" s="138" t="str">
        <f>TEXT(Таблица8[[#This Row],[Дата]],"М")</f>
        <v>2</v>
      </c>
      <c r="D143" s="144">
        <v>44598</v>
      </c>
      <c r="E143" s="148" t="s">
        <v>22</v>
      </c>
      <c r="F143" s="148" t="s">
        <v>38</v>
      </c>
      <c r="G143" s="149">
        <v>150</v>
      </c>
      <c r="H143" s="159" t="s">
        <v>112</v>
      </c>
    </row>
    <row r="144" spans="2:10" x14ac:dyDescent="0.2">
      <c r="B144" s="143">
        <f t="shared" si="2"/>
        <v>7</v>
      </c>
      <c r="C144" s="138" t="str">
        <f>TEXT(Таблица8[[#This Row],[Дата]],"М")</f>
        <v>2</v>
      </c>
      <c r="D144" s="144">
        <v>44598</v>
      </c>
      <c r="E144" s="143" t="s">
        <v>30</v>
      </c>
      <c r="F144" s="143" t="s">
        <v>100</v>
      </c>
      <c r="G144" s="147">
        <v>189</v>
      </c>
      <c r="H144" s="146"/>
      <c r="I144" s="142"/>
      <c r="J144" s="142"/>
    </row>
    <row r="145" spans="2:10" x14ac:dyDescent="0.2">
      <c r="B145" s="143">
        <f t="shared" si="2"/>
        <v>7</v>
      </c>
      <c r="C145" s="138" t="str">
        <f>TEXT(Таблица8[[#This Row],[Дата]],"М")</f>
        <v>2</v>
      </c>
      <c r="D145" s="144">
        <v>44598</v>
      </c>
      <c r="E145" s="143" t="s">
        <v>20</v>
      </c>
      <c r="F145" s="143" t="s">
        <v>102</v>
      </c>
      <c r="G145" s="147">
        <v>110</v>
      </c>
      <c r="H145" s="146" t="s">
        <v>113</v>
      </c>
      <c r="I145" s="142"/>
      <c r="J145" s="142"/>
    </row>
    <row r="146" spans="2:10" x14ac:dyDescent="0.2">
      <c r="B146" s="143">
        <f t="shared" si="2"/>
        <v>7</v>
      </c>
      <c r="C146" s="138" t="str">
        <f>TEXT(Таблица8[[#This Row],[Дата]],"М")</f>
        <v>2</v>
      </c>
      <c r="D146" s="144">
        <v>44598</v>
      </c>
      <c r="E146" s="148" t="s">
        <v>22</v>
      </c>
      <c r="F146" s="148" t="s">
        <v>114</v>
      </c>
      <c r="G146" s="149">
        <v>375</v>
      </c>
      <c r="H146" s="150">
        <v>300365</v>
      </c>
      <c r="I146" s="142"/>
      <c r="J146" s="142"/>
    </row>
    <row r="147" spans="2:10" x14ac:dyDescent="0.2">
      <c r="B147" s="137">
        <f t="shared" si="2"/>
        <v>7</v>
      </c>
      <c r="C147" s="138" t="str">
        <f>TEXT(Таблица8[[#This Row],[Дата]],"М")</f>
        <v>2</v>
      </c>
      <c r="D147" s="139">
        <v>44599</v>
      </c>
      <c r="E147" s="137" t="s">
        <v>71</v>
      </c>
      <c r="F147" s="137" t="s">
        <v>91</v>
      </c>
      <c r="G147" s="140">
        <f>194</f>
        <v>194</v>
      </c>
      <c r="H147" s="160"/>
    </row>
    <row r="148" spans="2:10" x14ac:dyDescent="0.2">
      <c r="B148" s="143">
        <f t="shared" si="2"/>
        <v>7</v>
      </c>
      <c r="C148" s="138" t="str">
        <f>TEXT(Таблица8[[#This Row],[Дата]],"М")</f>
        <v>2</v>
      </c>
      <c r="D148" s="161">
        <v>44599</v>
      </c>
      <c r="E148" s="143" t="s">
        <v>71</v>
      </c>
      <c r="F148" s="143" t="s">
        <v>91</v>
      </c>
      <c r="G148" s="147">
        <v>103</v>
      </c>
      <c r="H148" s="159"/>
    </row>
    <row r="149" spans="2:10" x14ac:dyDescent="0.2">
      <c r="B149" s="143">
        <f t="shared" si="2"/>
        <v>7</v>
      </c>
      <c r="C149" s="138" t="str">
        <f>TEXT(Таблица8[[#This Row],[Дата]],"М")</f>
        <v>2</v>
      </c>
      <c r="D149" s="161">
        <v>44599</v>
      </c>
      <c r="E149" s="143" t="s">
        <v>71</v>
      </c>
      <c r="F149" s="143" t="s">
        <v>94</v>
      </c>
      <c r="G149" s="147">
        <v>28</v>
      </c>
      <c r="H149" s="146"/>
      <c r="I149" s="142"/>
      <c r="J149" s="142"/>
    </row>
    <row r="150" spans="2:10" x14ac:dyDescent="0.2">
      <c r="B150" s="143">
        <f t="shared" si="2"/>
        <v>7</v>
      </c>
      <c r="C150" s="138" t="str">
        <f>TEXT(Таблица8[[#This Row],[Дата]],"М")</f>
        <v>2</v>
      </c>
      <c r="D150" s="161">
        <v>44599</v>
      </c>
      <c r="E150" s="143" t="s">
        <v>71</v>
      </c>
      <c r="F150" s="143" t="s">
        <v>115</v>
      </c>
      <c r="G150" s="147">
        <v>260</v>
      </c>
      <c r="H150" s="146"/>
      <c r="I150" s="142"/>
      <c r="J150" s="142"/>
    </row>
    <row r="151" spans="2:10" x14ac:dyDescent="0.2">
      <c r="B151" s="143">
        <f t="shared" si="2"/>
        <v>7</v>
      </c>
      <c r="C151" s="138" t="str">
        <f>TEXT(Таблица8[[#This Row],[Дата]],"М")</f>
        <v>2</v>
      </c>
      <c r="D151" s="161">
        <v>44599</v>
      </c>
      <c r="E151" s="143" t="s">
        <v>20</v>
      </c>
      <c r="F151" s="143" t="s">
        <v>99</v>
      </c>
      <c r="G151" s="147">
        <v>101</v>
      </c>
      <c r="H151" s="146" t="s">
        <v>113</v>
      </c>
      <c r="I151" s="142"/>
      <c r="J151" s="142"/>
    </row>
    <row r="152" spans="2:10" x14ac:dyDescent="0.2">
      <c r="B152" s="137">
        <f t="shared" si="2"/>
        <v>7</v>
      </c>
      <c r="C152" s="138" t="str">
        <f>TEXT(Таблица8[[#This Row],[Дата]],"М")</f>
        <v>2</v>
      </c>
      <c r="D152" s="162">
        <v>44600</v>
      </c>
      <c r="E152" s="137" t="s">
        <v>71</v>
      </c>
      <c r="F152" s="137" t="s">
        <v>115</v>
      </c>
      <c r="G152" s="140">
        <v>200</v>
      </c>
      <c r="H152" s="141"/>
      <c r="I152" s="142"/>
      <c r="J152" s="142"/>
    </row>
    <row r="153" spans="2:10" x14ac:dyDescent="0.2">
      <c r="B153" s="143">
        <f t="shared" si="2"/>
        <v>7</v>
      </c>
      <c r="C153" s="138" t="str">
        <f>TEXT(Таблица8[[#This Row],[Дата]],"М")</f>
        <v>2</v>
      </c>
      <c r="D153" s="161">
        <v>44600</v>
      </c>
      <c r="E153" s="148" t="s">
        <v>71</v>
      </c>
      <c r="F153" s="148" t="s">
        <v>94</v>
      </c>
      <c r="G153" s="149">
        <v>28</v>
      </c>
      <c r="H153" s="150"/>
      <c r="I153" s="142"/>
      <c r="J153" s="142"/>
    </row>
    <row r="154" spans="2:10" x14ac:dyDescent="0.2">
      <c r="B154" s="137">
        <f t="shared" si="2"/>
        <v>7</v>
      </c>
      <c r="C154" s="138" t="str">
        <f>TEXT(Таблица8[[#This Row],[Дата]],"М")</f>
        <v>2</v>
      </c>
      <c r="D154" s="162">
        <v>44601</v>
      </c>
      <c r="E154" s="137" t="s">
        <v>20</v>
      </c>
      <c r="F154" s="137" t="s">
        <v>99</v>
      </c>
      <c r="G154" s="140">
        <v>156</v>
      </c>
      <c r="H154" s="141"/>
      <c r="I154" s="142"/>
      <c r="J154" s="142"/>
    </row>
    <row r="155" spans="2:10" x14ac:dyDescent="0.2">
      <c r="B155" s="143">
        <f t="shared" si="2"/>
        <v>7</v>
      </c>
      <c r="C155" s="138" t="str">
        <f>TEXT(Таблица8[[#This Row],[Дата]],"М")</f>
        <v>2</v>
      </c>
      <c r="D155" s="161">
        <v>44601</v>
      </c>
      <c r="E155" s="143" t="s">
        <v>19</v>
      </c>
      <c r="F155" s="143" t="s">
        <v>96</v>
      </c>
      <c r="G155" s="147">
        <v>640</v>
      </c>
      <c r="H155" s="146"/>
      <c r="I155" s="142"/>
      <c r="J155" s="142"/>
    </row>
    <row r="156" spans="2:10" x14ac:dyDescent="0.2">
      <c r="B156" s="137">
        <f t="shared" si="2"/>
        <v>7</v>
      </c>
      <c r="C156" s="138" t="str">
        <f>TEXT(Таблица8[[#This Row],[Дата]],"М")</f>
        <v>2</v>
      </c>
      <c r="D156" s="162">
        <v>44602</v>
      </c>
      <c r="E156" s="137" t="s">
        <v>72</v>
      </c>
      <c r="F156" s="137" t="s">
        <v>43</v>
      </c>
      <c r="G156" s="140">
        <v>51</v>
      </c>
      <c r="H156" s="141"/>
      <c r="I156" s="142"/>
      <c r="J156" s="142"/>
    </row>
    <row r="157" spans="2:10" x14ac:dyDescent="0.2">
      <c r="B157" s="143">
        <f t="shared" si="2"/>
        <v>7</v>
      </c>
      <c r="C157" s="138" t="str">
        <f>TEXT(Таблица8[[#This Row],[Дата]],"М")</f>
        <v>2</v>
      </c>
      <c r="D157" s="161">
        <v>44602</v>
      </c>
      <c r="E157" s="143" t="s">
        <v>20</v>
      </c>
      <c r="F157" s="143" t="s">
        <v>99</v>
      </c>
      <c r="G157" s="147">
        <v>82</v>
      </c>
      <c r="H157" s="146"/>
      <c r="I157" s="142"/>
      <c r="J157" s="142"/>
    </row>
    <row r="158" spans="2:10" x14ac:dyDescent="0.2">
      <c r="B158" s="137">
        <f t="shared" si="2"/>
        <v>7</v>
      </c>
      <c r="C158" s="138" t="str">
        <f>TEXT(Таблица8[[#This Row],[Дата]],"М")</f>
        <v>2</v>
      </c>
      <c r="D158" s="162">
        <v>44603</v>
      </c>
      <c r="E158" s="137" t="s">
        <v>72</v>
      </c>
      <c r="F158" s="137" t="s">
        <v>40</v>
      </c>
      <c r="G158" s="140">
        <v>1000</v>
      </c>
      <c r="H158" s="141"/>
      <c r="I158" s="142"/>
      <c r="J158" s="142"/>
    </row>
    <row r="159" spans="2:10" x14ac:dyDescent="0.2">
      <c r="B159" s="143">
        <f t="shared" si="2"/>
        <v>7</v>
      </c>
      <c r="C159" s="138" t="str">
        <f>TEXT(Таблица8[[#This Row],[Дата]],"М")</f>
        <v>2</v>
      </c>
      <c r="D159" s="161">
        <v>44603</v>
      </c>
      <c r="E159" s="143" t="s">
        <v>71</v>
      </c>
      <c r="F159" s="143" t="s">
        <v>94</v>
      </c>
      <c r="G159" s="147">
        <v>32</v>
      </c>
      <c r="H159" s="146"/>
      <c r="I159" s="142"/>
      <c r="J159" s="142"/>
    </row>
    <row r="160" spans="2:10" x14ac:dyDescent="0.2">
      <c r="B160" s="143">
        <f t="shared" si="2"/>
        <v>7</v>
      </c>
      <c r="C160" s="138" t="str">
        <f>TEXT(Таблица8[[#This Row],[Дата]],"М")</f>
        <v>2</v>
      </c>
      <c r="D160" s="161">
        <v>44603</v>
      </c>
      <c r="E160" s="143" t="s">
        <v>20</v>
      </c>
      <c r="F160" s="143" t="s">
        <v>99</v>
      </c>
      <c r="G160" s="147">
        <v>57</v>
      </c>
      <c r="H160" s="146"/>
      <c r="I160" s="142"/>
      <c r="J160" s="142"/>
    </row>
    <row r="161" spans="2:10" x14ac:dyDescent="0.2">
      <c r="B161" s="143">
        <f t="shared" si="2"/>
        <v>7</v>
      </c>
      <c r="C161" s="138" t="str">
        <f>TEXT(Таблица8[[#This Row],[Дата]],"М")</f>
        <v>2</v>
      </c>
      <c r="D161" s="161">
        <v>44603</v>
      </c>
      <c r="E161" s="143" t="s">
        <v>19</v>
      </c>
      <c r="F161" s="143" t="s">
        <v>116</v>
      </c>
      <c r="G161" s="147">
        <f>70+150</f>
        <v>220</v>
      </c>
      <c r="H161" s="146"/>
      <c r="I161" s="142"/>
      <c r="J161" s="142"/>
    </row>
    <row r="162" spans="2:10" x14ac:dyDescent="0.2">
      <c r="B162" s="137">
        <f t="shared" si="2"/>
        <v>7</v>
      </c>
      <c r="C162" s="138" t="str">
        <f>TEXT(Таблица8[[#This Row],[Дата]],"М")</f>
        <v>2</v>
      </c>
      <c r="D162" s="162">
        <v>44604</v>
      </c>
      <c r="E162" s="137" t="s">
        <v>19</v>
      </c>
      <c r="F162" s="137" t="s">
        <v>96</v>
      </c>
      <c r="G162" s="140">
        <v>79</v>
      </c>
      <c r="H162" s="141"/>
      <c r="I162" s="142"/>
      <c r="J162" s="142"/>
    </row>
    <row r="163" spans="2:10" x14ac:dyDescent="0.2">
      <c r="B163" s="137">
        <f t="shared" si="2"/>
        <v>8</v>
      </c>
      <c r="C163" s="138" t="str">
        <f>TEXT(Таблица8[[#This Row],[Дата]],"М")</f>
        <v>2</v>
      </c>
      <c r="D163" s="162">
        <v>44605</v>
      </c>
      <c r="E163" s="137" t="s">
        <v>19</v>
      </c>
      <c r="F163" s="137" t="s">
        <v>96</v>
      </c>
      <c r="G163" s="140">
        <f>133+63</f>
        <v>196</v>
      </c>
      <c r="H163" s="141"/>
      <c r="I163" s="142"/>
      <c r="J163" s="142"/>
    </row>
    <row r="164" spans="2:10" x14ac:dyDescent="0.2">
      <c r="B164" s="137">
        <f t="shared" si="2"/>
        <v>8</v>
      </c>
      <c r="C164" s="138" t="str">
        <f>TEXT(Таблица8[[#This Row],[Дата]],"М")</f>
        <v>2</v>
      </c>
      <c r="D164" s="139">
        <v>44606</v>
      </c>
      <c r="E164" s="137" t="s">
        <v>20</v>
      </c>
      <c r="F164" s="137" t="s">
        <v>99</v>
      </c>
      <c r="G164" s="140">
        <v>111</v>
      </c>
      <c r="H164" s="141"/>
      <c r="I164" s="142"/>
      <c r="J164" s="142"/>
    </row>
    <row r="165" spans="2:10" x14ac:dyDescent="0.2">
      <c r="B165" s="143">
        <f t="shared" si="2"/>
        <v>8</v>
      </c>
      <c r="C165" s="138" t="str">
        <f>TEXT(Таблица8[[#This Row],[Дата]],"М")</f>
        <v>2</v>
      </c>
      <c r="D165" s="144">
        <v>44606</v>
      </c>
      <c r="E165" s="143" t="s">
        <v>19</v>
      </c>
      <c r="F165" s="143" t="s">
        <v>96</v>
      </c>
      <c r="G165" s="147">
        <f>90+35</f>
        <v>125</v>
      </c>
      <c r="H165" s="146"/>
      <c r="I165" s="142"/>
      <c r="J165" s="142"/>
    </row>
    <row r="166" spans="2:10" x14ac:dyDescent="0.2">
      <c r="B166" s="137">
        <f t="shared" si="2"/>
        <v>8</v>
      </c>
      <c r="C166" s="138" t="str">
        <f>TEXT(Таблица8[[#This Row],[Дата]],"М")</f>
        <v>2</v>
      </c>
      <c r="D166" s="139">
        <v>44607</v>
      </c>
      <c r="E166" s="137" t="s">
        <v>20</v>
      </c>
      <c r="F166" s="137" t="s">
        <v>99</v>
      </c>
      <c r="G166" s="140">
        <v>155</v>
      </c>
      <c r="H166" s="141"/>
      <c r="I166" s="142"/>
      <c r="J166" s="142"/>
    </row>
    <row r="167" spans="2:10" x14ac:dyDescent="0.2">
      <c r="B167" s="143">
        <f t="shared" si="2"/>
        <v>8</v>
      </c>
      <c r="C167" s="138" t="str">
        <f>TEXT(Таблица8[[#This Row],[Дата]],"М")</f>
        <v>2</v>
      </c>
      <c r="D167" s="144">
        <v>44607</v>
      </c>
      <c r="E167" s="143" t="s">
        <v>26</v>
      </c>
      <c r="F167" s="143" t="s">
        <v>117</v>
      </c>
      <c r="G167" s="147">
        <v>150</v>
      </c>
      <c r="H167" s="146"/>
      <c r="I167" s="142"/>
      <c r="J167" s="142"/>
    </row>
    <row r="168" spans="2:10" x14ac:dyDescent="0.2">
      <c r="B168" s="143">
        <f t="shared" si="2"/>
        <v>8</v>
      </c>
      <c r="C168" s="138" t="str">
        <f>TEXT(Таблица8[[#This Row],[Дата]],"М")</f>
        <v>2</v>
      </c>
      <c r="D168" s="144">
        <v>44607</v>
      </c>
      <c r="E168" s="143" t="s">
        <v>71</v>
      </c>
      <c r="F168" s="143" t="s">
        <v>94</v>
      </c>
      <c r="G168" s="147">
        <v>32</v>
      </c>
      <c r="H168" s="146"/>
      <c r="I168" s="142"/>
      <c r="J168" s="142"/>
    </row>
    <row r="169" spans="2:10" x14ac:dyDescent="0.2">
      <c r="B169" s="143">
        <f t="shared" si="2"/>
        <v>8</v>
      </c>
      <c r="C169" s="138" t="str">
        <f>TEXT(Таблица8[[#This Row],[Дата]],"М")</f>
        <v>2</v>
      </c>
      <c r="D169" s="144">
        <v>44607</v>
      </c>
      <c r="E169" s="143" t="s">
        <v>71</v>
      </c>
      <c r="F169" s="143" t="s">
        <v>108</v>
      </c>
      <c r="G169" s="147">
        <v>32</v>
      </c>
      <c r="H169" s="146"/>
      <c r="I169" s="142"/>
      <c r="J169" s="142"/>
    </row>
    <row r="170" spans="2:10" x14ac:dyDescent="0.2">
      <c r="B170" s="143">
        <f t="shared" si="2"/>
        <v>8</v>
      </c>
      <c r="C170" s="138" t="str">
        <f>TEXT(Таблица8[[#This Row],[Дата]],"М")</f>
        <v>2</v>
      </c>
      <c r="D170" s="144">
        <v>44607</v>
      </c>
      <c r="E170" s="143" t="s">
        <v>20</v>
      </c>
      <c r="F170" s="143" t="s">
        <v>118</v>
      </c>
      <c r="G170" s="147">
        <v>50</v>
      </c>
      <c r="H170" s="146"/>
      <c r="I170" s="142"/>
      <c r="J170" s="142"/>
    </row>
    <row r="171" spans="2:10" x14ac:dyDescent="0.2">
      <c r="B171" s="137">
        <f t="shared" si="2"/>
        <v>8</v>
      </c>
      <c r="C171" s="138" t="str">
        <f>TEXT(Таблица8[[#This Row],[Дата]],"М")</f>
        <v>2</v>
      </c>
      <c r="D171" s="139">
        <v>44608</v>
      </c>
      <c r="E171" s="137" t="s">
        <v>72</v>
      </c>
      <c r="F171" s="137" t="s">
        <v>45</v>
      </c>
      <c r="G171" s="140">
        <v>700</v>
      </c>
      <c r="H171" s="141"/>
      <c r="I171" s="142"/>
      <c r="J171" s="142"/>
    </row>
    <row r="172" spans="2:10" x14ac:dyDescent="0.2">
      <c r="B172" s="143">
        <f t="shared" si="2"/>
        <v>8</v>
      </c>
      <c r="C172" s="138" t="str">
        <f>TEXT(Таблица8[[#This Row],[Дата]],"М")</f>
        <v>2</v>
      </c>
      <c r="D172" s="144">
        <v>44608</v>
      </c>
      <c r="E172" s="143" t="s">
        <v>72</v>
      </c>
      <c r="F172" s="143" t="s">
        <v>40</v>
      </c>
      <c r="G172" s="147">
        <v>2300</v>
      </c>
      <c r="H172" s="146"/>
      <c r="I172" s="142"/>
      <c r="J172" s="142"/>
    </row>
    <row r="173" spans="2:10" x14ac:dyDescent="0.2">
      <c r="B173" s="143">
        <f t="shared" si="2"/>
        <v>8</v>
      </c>
      <c r="C173" s="138" t="str">
        <f>TEXT(Таблица8[[#This Row],[Дата]],"М")</f>
        <v>2</v>
      </c>
      <c r="D173" s="144">
        <v>44608</v>
      </c>
      <c r="E173" s="143" t="s">
        <v>72</v>
      </c>
      <c r="F173" s="143" t="s">
        <v>44</v>
      </c>
      <c r="G173" s="147">
        <v>300</v>
      </c>
      <c r="H173" s="146"/>
      <c r="I173" s="142"/>
      <c r="J173" s="142"/>
    </row>
    <row r="174" spans="2:10" x14ac:dyDescent="0.2">
      <c r="B174" s="143">
        <f t="shared" si="2"/>
        <v>8</v>
      </c>
      <c r="C174" s="138" t="str">
        <f>TEXT(Таблица8[[#This Row],[Дата]],"М")</f>
        <v>2</v>
      </c>
      <c r="D174" s="144">
        <v>44608</v>
      </c>
      <c r="E174" s="143" t="s">
        <v>72</v>
      </c>
      <c r="F174" s="143" t="s">
        <v>41</v>
      </c>
      <c r="G174" s="147">
        <v>50</v>
      </c>
      <c r="H174" s="146"/>
      <c r="I174" s="142"/>
      <c r="J174" s="142"/>
    </row>
    <row r="175" spans="2:10" x14ac:dyDescent="0.2">
      <c r="B175" s="143">
        <f t="shared" si="2"/>
        <v>8</v>
      </c>
      <c r="C175" s="138" t="str">
        <f>TEXT(Таблица8[[#This Row],[Дата]],"М")</f>
        <v>2</v>
      </c>
      <c r="D175" s="144">
        <v>44608</v>
      </c>
      <c r="E175" s="143" t="s">
        <v>72</v>
      </c>
      <c r="F175" s="143" t="s">
        <v>43</v>
      </c>
      <c r="G175" s="147">
        <v>250</v>
      </c>
      <c r="H175" s="146"/>
      <c r="I175" s="142"/>
      <c r="J175" s="142"/>
    </row>
    <row r="176" spans="2:10" x14ac:dyDescent="0.2">
      <c r="B176" s="143">
        <f t="shared" si="2"/>
        <v>8</v>
      </c>
      <c r="C176" s="138" t="str">
        <f>TEXT(Таблица8[[#This Row],[Дата]],"М")</f>
        <v>2</v>
      </c>
      <c r="D176" s="144">
        <v>44608</v>
      </c>
      <c r="E176" s="143" t="s">
        <v>23</v>
      </c>
      <c r="F176" s="143" t="s">
        <v>103</v>
      </c>
      <c r="G176" s="147">
        <v>800</v>
      </c>
      <c r="H176" s="146"/>
      <c r="I176" s="142"/>
      <c r="J176" s="142"/>
    </row>
    <row r="177" spans="2:10" x14ac:dyDescent="0.2">
      <c r="B177" s="143">
        <f t="shared" si="2"/>
        <v>8</v>
      </c>
      <c r="C177" s="138" t="str">
        <f>TEXT(Таблица8[[#This Row],[Дата]],"М")</f>
        <v>2</v>
      </c>
      <c r="D177" s="144">
        <v>44608</v>
      </c>
      <c r="E177" s="143" t="s">
        <v>22</v>
      </c>
      <c r="F177" s="143" t="s">
        <v>38</v>
      </c>
      <c r="G177" s="147">
        <v>542</v>
      </c>
      <c r="H177" s="146"/>
      <c r="I177" s="142"/>
      <c r="J177" s="142"/>
    </row>
    <row r="178" spans="2:10" x14ac:dyDescent="0.2">
      <c r="B178" s="143">
        <f t="shared" si="2"/>
        <v>8</v>
      </c>
      <c r="C178" s="138" t="str">
        <f>TEXT(Таблица8[[#This Row],[Дата]],"М")</f>
        <v>2</v>
      </c>
      <c r="D178" s="144">
        <v>44608</v>
      </c>
      <c r="E178" s="143" t="s">
        <v>19</v>
      </c>
      <c r="F178" s="143" t="s">
        <v>96</v>
      </c>
      <c r="G178" s="147">
        <f>639+65</f>
        <v>704</v>
      </c>
      <c r="H178" s="146"/>
      <c r="I178" s="142"/>
      <c r="J178" s="142"/>
    </row>
    <row r="179" spans="2:10" x14ac:dyDescent="0.2">
      <c r="B179" s="143">
        <f t="shared" si="2"/>
        <v>8</v>
      </c>
      <c r="C179" s="138" t="str">
        <f>TEXT(Таблица8[[#This Row],[Дата]],"М")</f>
        <v>2</v>
      </c>
      <c r="D179" s="144">
        <v>44608</v>
      </c>
      <c r="E179" s="143" t="s">
        <v>24</v>
      </c>
      <c r="F179" s="143" t="s">
        <v>119</v>
      </c>
      <c r="G179" s="147">
        <v>792</v>
      </c>
      <c r="H179" s="146"/>
      <c r="I179" s="142"/>
      <c r="J179" s="142"/>
    </row>
    <row r="180" spans="2:10" x14ac:dyDescent="0.2">
      <c r="B180" s="143">
        <f t="shared" si="2"/>
        <v>8</v>
      </c>
      <c r="C180" s="138" t="str">
        <f>TEXT(Таблица8[[#This Row],[Дата]],"М")</f>
        <v>2</v>
      </c>
      <c r="D180" s="144">
        <v>44608</v>
      </c>
      <c r="E180" s="143" t="s">
        <v>20</v>
      </c>
      <c r="F180" s="143" t="s">
        <v>99</v>
      </c>
      <c r="G180" s="147">
        <v>220</v>
      </c>
      <c r="H180" s="146"/>
      <c r="I180" s="142"/>
      <c r="J180" s="142"/>
    </row>
    <row r="181" spans="2:10" x14ac:dyDescent="0.2">
      <c r="B181" s="137">
        <f t="shared" si="2"/>
        <v>8</v>
      </c>
      <c r="C181" s="138" t="str">
        <f>TEXT(Таблица8[[#This Row],[Дата]],"М")</f>
        <v>2</v>
      </c>
      <c r="D181" s="139">
        <v>44609</v>
      </c>
      <c r="E181" s="137" t="s">
        <v>27</v>
      </c>
      <c r="F181" s="137"/>
      <c r="G181" s="140">
        <v>200</v>
      </c>
      <c r="H181" s="141"/>
      <c r="I181" s="142"/>
      <c r="J181" s="142"/>
    </row>
    <row r="182" spans="2:10" x14ac:dyDescent="0.2">
      <c r="B182" s="143">
        <f t="shared" si="2"/>
        <v>8</v>
      </c>
      <c r="C182" s="138" t="str">
        <f>TEXT(Таблица8[[#This Row],[Дата]],"М")</f>
        <v>2</v>
      </c>
      <c r="D182" s="144">
        <v>44609</v>
      </c>
      <c r="E182" s="143" t="s">
        <v>29</v>
      </c>
      <c r="F182" s="143" t="s">
        <v>107</v>
      </c>
      <c r="G182" s="147">
        <v>100</v>
      </c>
      <c r="H182" s="146"/>
      <c r="I182" s="142"/>
      <c r="J182" s="142"/>
    </row>
    <row r="183" spans="2:10" x14ac:dyDescent="0.2">
      <c r="B183" s="143">
        <f t="shared" si="2"/>
        <v>8</v>
      </c>
      <c r="C183" s="138" t="str">
        <f>TEXT(Таблица8[[#This Row],[Дата]],"М")</f>
        <v>2</v>
      </c>
      <c r="D183" s="144">
        <v>44609</v>
      </c>
      <c r="E183" s="143" t="s">
        <v>20</v>
      </c>
      <c r="F183" s="143" t="s">
        <v>99</v>
      </c>
      <c r="G183" s="147">
        <v>160</v>
      </c>
      <c r="H183" s="146"/>
      <c r="I183" s="142"/>
      <c r="J183" s="142"/>
    </row>
    <row r="184" spans="2:10" x14ac:dyDescent="0.2">
      <c r="B184" s="143">
        <f t="shared" si="2"/>
        <v>8</v>
      </c>
      <c r="C184" s="138" t="str">
        <f>TEXT(Таблица8[[#This Row],[Дата]],"М")</f>
        <v>2</v>
      </c>
      <c r="D184" s="144">
        <v>44609</v>
      </c>
      <c r="E184" s="143" t="s">
        <v>19</v>
      </c>
      <c r="F184" s="143" t="s">
        <v>96</v>
      </c>
      <c r="G184" s="147">
        <v>479</v>
      </c>
      <c r="H184" s="146"/>
      <c r="I184" s="142"/>
      <c r="J184" s="142"/>
    </row>
    <row r="185" spans="2:10" x14ac:dyDescent="0.2">
      <c r="B185" s="143">
        <f t="shared" si="2"/>
        <v>8</v>
      </c>
      <c r="C185" s="138" t="str">
        <f>TEXT(Таблица8[[#This Row],[Дата]],"М")</f>
        <v>2</v>
      </c>
      <c r="D185" s="144">
        <v>44609</v>
      </c>
      <c r="E185" s="143" t="s">
        <v>23</v>
      </c>
      <c r="F185" s="143" t="s">
        <v>103</v>
      </c>
      <c r="G185" s="147">
        <v>115</v>
      </c>
      <c r="H185" s="146"/>
      <c r="I185" s="142"/>
      <c r="J185" s="142"/>
    </row>
    <row r="186" spans="2:10" x14ac:dyDescent="0.2">
      <c r="B186" s="137">
        <f t="shared" si="2"/>
        <v>8</v>
      </c>
      <c r="C186" s="138" t="str">
        <f>TEXT(Таблица8[[#This Row],[Дата]],"М")</f>
        <v>2</v>
      </c>
      <c r="D186" s="139">
        <v>44610</v>
      </c>
      <c r="E186" s="137" t="s">
        <v>29</v>
      </c>
      <c r="F186" s="137" t="s">
        <v>107</v>
      </c>
      <c r="G186" s="140">
        <v>306</v>
      </c>
      <c r="H186" s="141"/>
      <c r="I186" s="142"/>
      <c r="J186" s="142"/>
    </row>
    <row r="187" spans="2:10" x14ac:dyDescent="0.2">
      <c r="B187" s="143">
        <f t="shared" si="2"/>
        <v>8</v>
      </c>
      <c r="C187" s="138" t="str">
        <f>TEXT(Таблица8[[#This Row],[Дата]],"М")</f>
        <v>2</v>
      </c>
      <c r="D187" s="144">
        <v>44610</v>
      </c>
      <c r="E187" s="143" t="s">
        <v>20</v>
      </c>
      <c r="F187" s="143" t="s">
        <v>97</v>
      </c>
      <c r="G187" s="147">
        <f>309+2372-2000</f>
        <v>681</v>
      </c>
      <c r="H187" s="146"/>
      <c r="I187" s="142"/>
      <c r="J187" s="142"/>
    </row>
    <row r="188" spans="2:10" x14ac:dyDescent="0.2">
      <c r="B188" s="143">
        <f t="shared" si="2"/>
        <v>8</v>
      </c>
      <c r="C188" s="138" t="str">
        <f>TEXT(Таблица8[[#This Row],[Дата]],"М")</f>
        <v>2</v>
      </c>
      <c r="D188" s="144">
        <v>44610</v>
      </c>
      <c r="E188" s="143" t="s">
        <v>20</v>
      </c>
      <c r="F188" s="143" t="s">
        <v>99</v>
      </c>
      <c r="G188" s="147">
        <v>162</v>
      </c>
      <c r="H188" s="146"/>
      <c r="I188" s="142"/>
      <c r="J188" s="142"/>
    </row>
    <row r="189" spans="2:10" x14ac:dyDescent="0.2">
      <c r="B189" s="143">
        <f t="shared" si="2"/>
        <v>8</v>
      </c>
      <c r="C189" s="138" t="str">
        <f>TEXT(Таблица8[[#This Row],[Дата]],"М")</f>
        <v>2</v>
      </c>
      <c r="D189" s="144">
        <v>44610</v>
      </c>
      <c r="E189" s="143" t="s">
        <v>72</v>
      </c>
      <c r="F189" s="143" t="s">
        <v>43</v>
      </c>
      <c r="G189" s="147">
        <v>182</v>
      </c>
      <c r="H189" s="146"/>
      <c r="I189" s="142"/>
      <c r="J189" s="142"/>
    </row>
    <row r="190" spans="2:10" x14ac:dyDescent="0.2">
      <c r="B190" s="137">
        <f t="shared" si="2"/>
        <v>8</v>
      </c>
      <c r="C190" s="138" t="str">
        <f>TEXT(Таблица8[[#This Row],[Дата]],"М")</f>
        <v>2</v>
      </c>
      <c r="D190" s="139">
        <v>44611</v>
      </c>
      <c r="E190" s="137" t="s">
        <v>20</v>
      </c>
      <c r="F190" s="137" t="s">
        <v>118</v>
      </c>
      <c r="G190" s="140">
        <v>200</v>
      </c>
      <c r="H190" s="141"/>
      <c r="I190" s="142"/>
      <c r="J190" s="142"/>
    </row>
    <row r="191" spans="2:10" x14ac:dyDescent="0.2">
      <c r="B191" s="143">
        <f t="shared" ref="B191:B254" si="3">WEEKNUM(D191)</f>
        <v>8</v>
      </c>
      <c r="C191" s="138" t="str">
        <f>TEXT(Таблица8[[#This Row],[Дата]],"М")</f>
        <v>2</v>
      </c>
      <c r="D191" s="144">
        <v>44611</v>
      </c>
      <c r="E191" s="143" t="s">
        <v>19</v>
      </c>
      <c r="F191" s="143" t="s">
        <v>116</v>
      </c>
      <c r="G191" s="147">
        <f>27+194</f>
        <v>221</v>
      </c>
      <c r="H191" s="146"/>
      <c r="I191" s="142"/>
      <c r="J191" s="142"/>
    </row>
    <row r="192" spans="2:10" x14ac:dyDescent="0.2">
      <c r="B192" s="137">
        <f t="shared" si="3"/>
        <v>9</v>
      </c>
      <c r="C192" s="138" t="str">
        <f>TEXT(Таблица8[[#This Row],[Дата]],"М")</f>
        <v>2</v>
      </c>
      <c r="D192" s="139">
        <v>44612</v>
      </c>
      <c r="E192" s="137" t="s">
        <v>19</v>
      </c>
      <c r="F192" s="137" t="s">
        <v>96</v>
      </c>
      <c r="G192" s="140">
        <v>50</v>
      </c>
      <c r="H192" s="141"/>
      <c r="I192" s="142"/>
      <c r="J192" s="142"/>
    </row>
    <row r="193" spans="2:10" x14ac:dyDescent="0.2">
      <c r="B193" s="143">
        <f t="shared" si="3"/>
        <v>9</v>
      </c>
      <c r="C193" s="138" t="str">
        <f>TEXT(Таблица8[[#This Row],[Дата]],"М")</f>
        <v>2</v>
      </c>
      <c r="D193" s="144">
        <v>44612</v>
      </c>
      <c r="E193" s="143" t="s">
        <v>20</v>
      </c>
      <c r="F193" s="143" t="s">
        <v>102</v>
      </c>
      <c r="G193" s="147">
        <f>138-50</f>
        <v>88</v>
      </c>
      <c r="H193" s="146"/>
      <c r="I193" s="142"/>
      <c r="J193" s="142"/>
    </row>
    <row r="194" spans="2:10" x14ac:dyDescent="0.2">
      <c r="B194" s="137">
        <f t="shared" si="3"/>
        <v>9</v>
      </c>
      <c r="C194" s="138" t="str">
        <f>TEXT(Таблица8[[#This Row],[Дата]],"М")</f>
        <v>2</v>
      </c>
      <c r="D194" s="139">
        <v>44613</v>
      </c>
      <c r="E194" s="137" t="s">
        <v>72</v>
      </c>
      <c r="F194" s="137" t="s">
        <v>40</v>
      </c>
      <c r="G194" s="140">
        <v>700</v>
      </c>
      <c r="H194" s="141"/>
      <c r="I194" s="142"/>
      <c r="J194" s="142"/>
    </row>
    <row r="195" spans="2:10" x14ac:dyDescent="0.2">
      <c r="B195" s="143">
        <f t="shared" si="3"/>
        <v>9</v>
      </c>
      <c r="C195" s="138" t="str">
        <f>TEXT(Таблица8[[#This Row],[Дата]],"М")</f>
        <v>2</v>
      </c>
      <c r="D195" s="144">
        <v>44613</v>
      </c>
      <c r="E195" s="143" t="s">
        <v>20</v>
      </c>
      <c r="F195" s="143" t="s">
        <v>99</v>
      </c>
      <c r="G195" s="147">
        <v>122</v>
      </c>
      <c r="H195" s="146"/>
      <c r="I195" s="142"/>
      <c r="J195" s="142"/>
    </row>
    <row r="196" spans="2:10" x14ac:dyDescent="0.2">
      <c r="B196" s="143">
        <f t="shared" si="3"/>
        <v>9</v>
      </c>
      <c r="C196" s="138" t="str">
        <f>TEXT(Таблица8[[#This Row],[Дата]],"М")</f>
        <v>2</v>
      </c>
      <c r="D196" s="144">
        <v>44613</v>
      </c>
      <c r="E196" s="143" t="s">
        <v>22</v>
      </c>
      <c r="F196" s="143" t="s">
        <v>38</v>
      </c>
      <c r="G196" s="147">
        <v>220</v>
      </c>
      <c r="H196" s="146"/>
      <c r="I196" s="142"/>
      <c r="J196" s="142"/>
    </row>
    <row r="197" spans="2:10" ht="16.5" customHeight="1" x14ac:dyDescent="0.2">
      <c r="B197" s="143">
        <f t="shared" si="3"/>
        <v>9</v>
      </c>
      <c r="C197" s="138" t="str">
        <f>TEXT(Таблица8[[#This Row],[Дата]],"М")</f>
        <v>2</v>
      </c>
      <c r="D197" s="144">
        <v>44613</v>
      </c>
      <c r="E197" s="143" t="s">
        <v>19</v>
      </c>
      <c r="F197" s="143" t="s">
        <v>96</v>
      </c>
      <c r="G197" s="147">
        <v>310</v>
      </c>
      <c r="H197" s="146"/>
      <c r="I197" s="142"/>
      <c r="J197" s="142"/>
    </row>
    <row r="198" spans="2:10" x14ac:dyDescent="0.2">
      <c r="B198" s="143">
        <f t="shared" si="3"/>
        <v>9</v>
      </c>
      <c r="C198" s="138" t="str">
        <f>TEXT(Таблица8[[#This Row],[Дата]],"М")</f>
        <v>2</v>
      </c>
      <c r="D198" s="144">
        <v>44613</v>
      </c>
      <c r="E198" s="143" t="s">
        <v>72</v>
      </c>
      <c r="F198" s="143" t="s">
        <v>43</v>
      </c>
      <c r="G198" s="147">
        <v>60</v>
      </c>
      <c r="H198" s="146"/>
      <c r="I198" s="142"/>
      <c r="J198" s="142"/>
    </row>
    <row r="199" spans="2:10" x14ac:dyDescent="0.2">
      <c r="B199" s="143">
        <f t="shared" si="3"/>
        <v>9</v>
      </c>
      <c r="C199" s="138" t="str">
        <f>TEXT(Таблица8[[#This Row],[Дата]],"М")</f>
        <v>2</v>
      </c>
      <c r="D199" s="144">
        <v>44613</v>
      </c>
      <c r="E199" s="143" t="s">
        <v>72</v>
      </c>
      <c r="F199" s="143" t="s">
        <v>44</v>
      </c>
      <c r="G199" s="147">
        <v>100</v>
      </c>
      <c r="H199" s="146"/>
      <c r="I199" s="142"/>
      <c r="J199" s="142"/>
    </row>
    <row r="200" spans="2:10" x14ac:dyDescent="0.2">
      <c r="B200" s="137">
        <f t="shared" si="3"/>
        <v>9</v>
      </c>
      <c r="C200" s="138" t="str">
        <f>TEXT(Таблица8[[#This Row],[Дата]],"М")</f>
        <v>2</v>
      </c>
      <c r="D200" s="139">
        <v>44614</v>
      </c>
      <c r="E200" s="137" t="s">
        <v>72</v>
      </c>
      <c r="F200" s="137" t="s">
        <v>40</v>
      </c>
      <c r="G200" s="140">
        <v>100</v>
      </c>
      <c r="H200" s="141"/>
      <c r="I200" s="142"/>
      <c r="J200" s="142"/>
    </row>
    <row r="201" spans="2:10" x14ac:dyDescent="0.2">
      <c r="B201" s="143">
        <f t="shared" si="3"/>
        <v>9</v>
      </c>
      <c r="C201" s="138" t="str">
        <f>TEXT(Таблица8[[#This Row],[Дата]],"М")</f>
        <v>2</v>
      </c>
      <c r="D201" s="144">
        <v>44614</v>
      </c>
      <c r="E201" s="143" t="s">
        <v>20</v>
      </c>
      <c r="F201" s="143" t="s">
        <v>99</v>
      </c>
      <c r="G201" s="147">
        <v>180</v>
      </c>
      <c r="H201" s="146"/>
      <c r="I201" s="142"/>
      <c r="J201" s="142"/>
    </row>
    <row r="202" spans="2:10" x14ac:dyDescent="0.2">
      <c r="B202" s="143">
        <f t="shared" si="3"/>
        <v>9</v>
      </c>
      <c r="C202" s="138" t="str">
        <f>TEXT(Таблица8[[#This Row],[Дата]],"М")</f>
        <v>2</v>
      </c>
      <c r="D202" s="144">
        <v>44614</v>
      </c>
      <c r="E202" s="143" t="s">
        <v>71</v>
      </c>
      <c r="F202" s="143" t="s">
        <v>91</v>
      </c>
      <c r="G202" s="147">
        <f>401+40+262</f>
        <v>703</v>
      </c>
      <c r="H202" s="146"/>
      <c r="I202" s="142"/>
      <c r="J202" s="142"/>
    </row>
    <row r="203" spans="2:10" x14ac:dyDescent="0.2">
      <c r="B203" s="143">
        <f t="shared" si="3"/>
        <v>9</v>
      </c>
      <c r="C203" s="138" t="str">
        <f>TEXT(Таблица8[[#This Row],[Дата]],"М")</f>
        <v>2</v>
      </c>
      <c r="D203" s="144">
        <v>44614</v>
      </c>
      <c r="E203" s="143" t="s">
        <v>20</v>
      </c>
      <c r="F203" s="143" t="s">
        <v>97</v>
      </c>
      <c r="G203" s="147">
        <v>1489</v>
      </c>
      <c r="H203" s="146"/>
      <c r="I203" s="142"/>
      <c r="J203" s="142"/>
    </row>
    <row r="204" spans="2:10" x14ac:dyDescent="0.2">
      <c r="B204" s="137">
        <f t="shared" si="3"/>
        <v>9</v>
      </c>
      <c r="C204" s="138" t="str">
        <f>TEXT(Таблица8[[#This Row],[Дата]],"М")</f>
        <v>2</v>
      </c>
      <c r="D204" s="139">
        <v>44615</v>
      </c>
      <c r="E204" s="137" t="s">
        <v>29</v>
      </c>
      <c r="F204" s="137" t="s">
        <v>107</v>
      </c>
      <c r="G204" s="140">
        <v>230</v>
      </c>
      <c r="H204" s="141"/>
      <c r="I204" s="142"/>
      <c r="J204" s="142"/>
    </row>
    <row r="205" spans="2:10" x14ac:dyDescent="0.2">
      <c r="B205" s="143">
        <f t="shared" si="3"/>
        <v>9</v>
      </c>
      <c r="C205" s="138" t="str">
        <f>TEXT(Таблица8[[#This Row],[Дата]],"М")</f>
        <v>2</v>
      </c>
      <c r="D205" s="144">
        <v>44615</v>
      </c>
      <c r="E205" s="143" t="s">
        <v>19</v>
      </c>
      <c r="F205" s="143" t="s">
        <v>116</v>
      </c>
      <c r="G205" s="147">
        <v>226</v>
      </c>
      <c r="H205" s="146"/>
      <c r="I205" s="142"/>
      <c r="J205" s="142"/>
    </row>
    <row r="206" spans="2:10" x14ac:dyDescent="0.2">
      <c r="B206" s="143">
        <f t="shared" si="3"/>
        <v>9</v>
      </c>
      <c r="C206" s="138" t="str">
        <f>TEXT(Таблица8[[#This Row],[Дата]],"М")</f>
        <v>2</v>
      </c>
      <c r="D206" s="144">
        <v>44615</v>
      </c>
      <c r="E206" s="143" t="s">
        <v>30</v>
      </c>
      <c r="F206" s="143" t="s">
        <v>92</v>
      </c>
      <c r="G206" s="147">
        <f>150+70</f>
        <v>220</v>
      </c>
      <c r="H206" s="146"/>
      <c r="I206" s="142"/>
      <c r="J206" s="142"/>
    </row>
    <row r="207" spans="2:10" x14ac:dyDescent="0.2">
      <c r="B207" s="137">
        <f t="shared" si="3"/>
        <v>9</v>
      </c>
      <c r="C207" s="138" t="str">
        <f>TEXT(Таблица8[[#This Row],[Дата]],"М")</f>
        <v>2</v>
      </c>
      <c r="D207" s="139">
        <v>44616</v>
      </c>
      <c r="E207" s="137" t="s">
        <v>72</v>
      </c>
      <c r="F207" s="137" t="s">
        <v>40</v>
      </c>
      <c r="G207" s="140">
        <v>300</v>
      </c>
      <c r="H207" s="141"/>
      <c r="I207" s="142"/>
      <c r="J207" s="142"/>
    </row>
    <row r="208" spans="2:10" x14ac:dyDescent="0.2">
      <c r="B208" s="143">
        <f t="shared" si="3"/>
        <v>9</v>
      </c>
      <c r="C208" s="138" t="str">
        <f>TEXT(Таблица8[[#This Row],[Дата]],"М")</f>
        <v>2</v>
      </c>
      <c r="D208" s="144">
        <v>44616</v>
      </c>
      <c r="E208" s="143" t="s">
        <v>71</v>
      </c>
      <c r="F208" s="143" t="s">
        <v>94</v>
      </c>
      <c r="G208" s="147">
        <f>32*3</f>
        <v>96</v>
      </c>
      <c r="H208" s="146"/>
      <c r="I208" s="142"/>
      <c r="J208" s="142"/>
    </row>
    <row r="209" spans="2:10" x14ac:dyDescent="0.2">
      <c r="B209" s="143">
        <f t="shared" si="3"/>
        <v>9</v>
      </c>
      <c r="C209" s="138" t="str">
        <f>TEXT(Таблица8[[#This Row],[Дата]],"М")</f>
        <v>2</v>
      </c>
      <c r="D209" s="144">
        <v>44616</v>
      </c>
      <c r="E209" s="143" t="s">
        <v>20</v>
      </c>
      <c r="F209" s="143" t="s">
        <v>118</v>
      </c>
      <c r="G209" s="147">
        <v>120</v>
      </c>
      <c r="H209" s="146"/>
      <c r="I209" s="142"/>
      <c r="J209" s="142"/>
    </row>
    <row r="210" spans="2:10" x14ac:dyDescent="0.2">
      <c r="B210" s="143">
        <f t="shared" si="3"/>
        <v>9</v>
      </c>
      <c r="C210" s="138" t="str">
        <f>TEXT(Таблица8[[#This Row],[Дата]],"М")</f>
        <v>2</v>
      </c>
      <c r="D210" s="144">
        <v>44616</v>
      </c>
      <c r="E210" s="143" t="s">
        <v>20</v>
      </c>
      <c r="F210" s="143" t="s">
        <v>99</v>
      </c>
      <c r="G210" s="147">
        <v>133</v>
      </c>
      <c r="H210" s="146"/>
      <c r="I210" s="142"/>
      <c r="J210" s="142"/>
    </row>
    <row r="211" spans="2:10" x14ac:dyDescent="0.2">
      <c r="B211" s="137">
        <f t="shared" si="3"/>
        <v>9</v>
      </c>
      <c r="C211" s="138" t="str">
        <f>TEXT(Таблица8[[#This Row],[Дата]],"М")</f>
        <v>2</v>
      </c>
      <c r="D211" s="139">
        <v>44617</v>
      </c>
      <c r="E211" s="137" t="s">
        <v>20</v>
      </c>
      <c r="F211" s="137" t="s">
        <v>99</v>
      </c>
      <c r="G211" s="140">
        <v>410</v>
      </c>
      <c r="H211" s="141"/>
      <c r="I211" s="142"/>
      <c r="J211" s="142"/>
    </row>
    <row r="212" spans="2:10" x14ac:dyDescent="0.2">
      <c r="B212" s="143">
        <f t="shared" si="3"/>
        <v>9</v>
      </c>
      <c r="C212" s="138" t="str">
        <f>TEXT(Таблица8[[#This Row],[Дата]],"М")</f>
        <v>2</v>
      </c>
      <c r="D212" s="144">
        <v>44617</v>
      </c>
      <c r="E212" s="143" t="s">
        <v>26</v>
      </c>
      <c r="F212" s="143" t="s">
        <v>117</v>
      </c>
      <c r="G212" s="147">
        <v>100</v>
      </c>
      <c r="H212" s="146"/>
      <c r="I212" s="142"/>
      <c r="J212" s="142"/>
    </row>
    <row r="213" spans="2:10" x14ac:dyDescent="0.2">
      <c r="B213" s="143">
        <f t="shared" si="3"/>
        <v>9</v>
      </c>
      <c r="C213" s="138" t="str">
        <f>TEXT(Таблица8[[#This Row],[Дата]],"М")</f>
        <v>2</v>
      </c>
      <c r="D213" s="144">
        <v>44617</v>
      </c>
      <c r="E213" s="143" t="s">
        <v>19</v>
      </c>
      <c r="F213" s="143" t="s">
        <v>116</v>
      </c>
      <c r="G213" s="147">
        <v>485</v>
      </c>
      <c r="H213" s="146"/>
      <c r="I213" s="142"/>
      <c r="J213" s="142"/>
    </row>
    <row r="214" spans="2:10" x14ac:dyDescent="0.2">
      <c r="B214" s="137">
        <f t="shared" si="3"/>
        <v>10</v>
      </c>
      <c r="C214" s="138" t="str">
        <f>TEXT(Таблица8[[#This Row],[Дата]],"М")</f>
        <v>2</v>
      </c>
      <c r="D214" s="139">
        <v>44619</v>
      </c>
      <c r="E214" s="137" t="s">
        <v>72</v>
      </c>
      <c r="F214" s="137" t="s">
        <v>43</v>
      </c>
      <c r="G214" s="140">
        <v>28</v>
      </c>
      <c r="H214" s="141"/>
      <c r="I214" s="142"/>
      <c r="J214" s="142"/>
    </row>
    <row r="215" spans="2:10" x14ac:dyDescent="0.2">
      <c r="B215" s="143">
        <f t="shared" si="3"/>
        <v>10</v>
      </c>
      <c r="C215" s="138" t="str">
        <f>TEXT(Таблица8[[#This Row],[Дата]],"М")</f>
        <v>2</v>
      </c>
      <c r="D215" s="144">
        <v>44619</v>
      </c>
      <c r="E215" s="143" t="s">
        <v>19</v>
      </c>
      <c r="F215" s="143" t="s">
        <v>96</v>
      </c>
      <c r="G215" s="147">
        <v>105</v>
      </c>
      <c r="H215" s="146"/>
      <c r="I215" s="142"/>
      <c r="J215" s="142"/>
    </row>
    <row r="216" spans="2:10" x14ac:dyDescent="0.2">
      <c r="B216" s="143">
        <f t="shared" si="3"/>
        <v>10</v>
      </c>
      <c r="C216" s="138" t="str">
        <f>TEXT(Таблица8[[#This Row],[Дата]],"М")</f>
        <v>2</v>
      </c>
      <c r="D216" s="144">
        <v>44619</v>
      </c>
      <c r="E216" s="143" t="s">
        <v>71</v>
      </c>
      <c r="F216" s="143" t="s">
        <v>94</v>
      </c>
      <c r="G216" s="147">
        <f>64</f>
        <v>64</v>
      </c>
      <c r="H216" s="146"/>
      <c r="I216" s="142"/>
      <c r="J216" s="142"/>
    </row>
    <row r="217" spans="2:10" x14ac:dyDescent="0.2">
      <c r="B217" s="137">
        <f t="shared" si="3"/>
        <v>10</v>
      </c>
      <c r="C217" s="138" t="str">
        <f>TEXT(Таблица8[[#This Row],[Дата]],"М")</f>
        <v>2</v>
      </c>
      <c r="D217" s="139">
        <v>44620</v>
      </c>
      <c r="E217" s="137" t="s">
        <v>72</v>
      </c>
      <c r="F217" s="137" t="s">
        <v>40</v>
      </c>
      <c r="G217" s="140">
        <v>300</v>
      </c>
      <c r="H217" s="141"/>
      <c r="I217" s="142"/>
      <c r="J217" s="142"/>
    </row>
    <row r="218" spans="2:10" x14ac:dyDescent="0.2">
      <c r="B218" s="143">
        <f t="shared" si="3"/>
        <v>10</v>
      </c>
      <c r="C218" s="138" t="str">
        <f>TEXT(Таблица8[[#This Row],[Дата]],"М")</f>
        <v>2</v>
      </c>
      <c r="D218" s="144">
        <v>44620</v>
      </c>
      <c r="E218" s="143" t="s">
        <v>72</v>
      </c>
      <c r="F218" s="143" t="s">
        <v>45</v>
      </c>
      <c r="G218" s="147">
        <v>100</v>
      </c>
      <c r="H218" s="146"/>
      <c r="I218" s="142"/>
      <c r="J218" s="142"/>
    </row>
    <row r="219" spans="2:10" x14ac:dyDescent="0.2">
      <c r="B219" s="143">
        <f t="shared" si="3"/>
        <v>10</v>
      </c>
      <c r="C219" s="138" t="str">
        <f>TEXT(Таблица8[[#This Row],[Дата]],"М")</f>
        <v>2</v>
      </c>
      <c r="D219" s="144">
        <v>44620</v>
      </c>
      <c r="E219" s="143" t="s">
        <v>72</v>
      </c>
      <c r="F219" s="143" t="s">
        <v>44</v>
      </c>
      <c r="G219" s="147">
        <v>50</v>
      </c>
      <c r="H219" s="146"/>
      <c r="I219" s="142"/>
      <c r="J219" s="142"/>
    </row>
    <row r="220" spans="2:10" x14ac:dyDescent="0.2">
      <c r="B220" s="143">
        <f t="shared" si="3"/>
        <v>10</v>
      </c>
      <c r="C220" s="138" t="str">
        <f>TEXT(Таблица8[[#This Row],[Дата]],"М")</f>
        <v>2</v>
      </c>
      <c r="D220" s="144">
        <v>44620</v>
      </c>
      <c r="E220" s="143" t="s">
        <v>72</v>
      </c>
      <c r="F220" s="143" t="s">
        <v>43</v>
      </c>
      <c r="G220" s="147">
        <f>500+12+90</f>
        <v>602</v>
      </c>
      <c r="H220" s="146"/>
      <c r="I220" s="142"/>
      <c r="J220" s="142"/>
    </row>
    <row r="221" spans="2:10" x14ac:dyDescent="0.2">
      <c r="B221" s="143">
        <f t="shared" si="3"/>
        <v>10</v>
      </c>
      <c r="C221" s="138" t="str">
        <f>TEXT(Таблица8[[#This Row],[Дата]],"М")</f>
        <v>2</v>
      </c>
      <c r="D221" s="144">
        <v>44620</v>
      </c>
      <c r="E221" s="143" t="s">
        <v>19</v>
      </c>
      <c r="F221" s="143" t="s">
        <v>96</v>
      </c>
      <c r="G221" s="147">
        <f>27+475</f>
        <v>502</v>
      </c>
      <c r="H221" s="146"/>
      <c r="I221" s="142"/>
      <c r="J221" s="142"/>
    </row>
    <row r="222" spans="2:10" ht="14.25" customHeight="1" x14ac:dyDescent="0.2">
      <c r="B222" s="143">
        <f t="shared" si="3"/>
        <v>10</v>
      </c>
      <c r="C222" s="138" t="str">
        <f>TEXT(Таблица8[[#This Row],[Дата]],"М")</f>
        <v>2</v>
      </c>
      <c r="D222" s="144">
        <v>44620</v>
      </c>
      <c r="E222" s="143" t="s">
        <v>20</v>
      </c>
      <c r="F222" s="143" t="s">
        <v>99</v>
      </c>
      <c r="G222" s="147">
        <v>146</v>
      </c>
      <c r="H222" s="146"/>
      <c r="I222" s="142"/>
      <c r="J222" s="142"/>
    </row>
    <row r="223" spans="2:10" x14ac:dyDescent="0.2">
      <c r="B223" s="143">
        <f t="shared" si="3"/>
        <v>10</v>
      </c>
      <c r="C223" s="138" t="str">
        <f>TEXT(Таблица8[[#This Row],[Дата]],"М")</f>
        <v>2</v>
      </c>
      <c r="D223" s="144">
        <v>44620</v>
      </c>
      <c r="E223" s="143" t="s">
        <v>22</v>
      </c>
      <c r="F223" s="143" t="s">
        <v>38</v>
      </c>
      <c r="G223" s="147">
        <f>308+1192-550</f>
        <v>950</v>
      </c>
      <c r="H223" s="146"/>
      <c r="I223" s="142"/>
      <c r="J223" s="142"/>
    </row>
    <row r="224" spans="2:10" x14ac:dyDescent="0.2">
      <c r="B224" s="143">
        <f t="shared" si="3"/>
        <v>10</v>
      </c>
      <c r="C224" s="138" t="str">
        <f>TEXT(Таблица8[[#This Row],[Дата]],"М")</f>
        <v>2</v>
      </c>
      <c r="D224" s="144">
        <v>44620</v>
      </c>
      <c r="E224" s="143" t="s">
        <v>26</v>
      </c>
      <c r="F224" s="143" t="s">
        <v>117</v>
      </c>
      <c r="G224" s="147">
        <v>100</v>
      </c>
      <c r="H224" s="146"/>
      <c r="I224" s="142"/>
      <c r="J224" s="142"/>
    </row>
    <row r="225" spans="2:18" x14ac:dyDescent="0.2">
      <c r="B225" s="143">
        <f t="shared" si="3"/>
        <v>10</v>
      </c>
      <c r="C225" s="138" t="str">
        <f>TEXT(Таблица8[[#This Row],[Дата]],"М")</f>
        <v>2</v>
      </c>
      <c r="D225" s="144">
        <v>44620</v>
      </c>
      <c r="E225" s="143" t="s">
        <v>29</v>
      </c>
      <c r="F225" s="143" t="s">
        <v>105</v>
      </c>
      <c r="G225" s="147">
        <v>200</v>
      </c>
      <c r="H225" s="146"/>
      <c r="I225" s="142"/>
      <c r="J225" s="142"/>
    </row>
    <row r="226" spans="2:18" ht="14.25" x14ac:dyDescent="0.2">
      <c r="B226" s="143">
        <f t="shared" si="3"/>
        <v>10</v>
      </c>
      <c r="C226" s="138" t="str">
        <f>TEXT(Таблица8[[#This Row],[Дата]],"М")</f>
        <v>2</v>
      </c>
      <c r="D226" s="144">
        <v>44620</v>
      </c>
      <c r="E226" s="143" t="s">
        <v>23</v>
      </c>
      <c r="F226" s="143" t="s">
        <v>103</v>
      </c>
      <c r="G226" s="147">
        <v>175</v>
      </c>
      <c r="H226" s="146"/>
      <c r="I226" s="142"/>
      <c r="J226" s="142"/>
      <c r="K226" s="120"/>
      <c r="L226" s="120"/>
      <c r="M226" s="120"/>
      <c r="N226" s="120"/>
      <c r="O226" s="130"/>
      <c r="Q226" s="120"/>
      <c r="R226" s="120"/>
    </row>
    <row r="227" spans="2:18" x14ac:dyDescent="0.2">
      <c r="B227" s="137">
        <f t="shared" si="3"/>
        <v>10</v>
      </c>
      <c r="C227" s="138" t="str">
        <f>TEXT(Таблица8[[#This Row],[Дата]],"М")</f>
        <v>3</v>
      </c>
      <c r="D227" s="139">
        <v>44621</v>
      </c>
      <c r="E227" s="137" t="s">
        <v>72</v>
      </c>
      <c r="F227" s="137" t="s">
        <v>43</v>
      </c>
      <c r="G227" s="140">
        <v>40</v>
      </c>
      <c r="H227" s="141"/>
      <c r="I227" s="142"/>
      <c r="J227" s="142"/>
    </row>
    <row r="228" spans="2:18" x14ac:dyDescent="0.2">
      <c r="B228" s="143">
        <f t="shared" si="3"/>
        <v>10</v>
      </c>
      <c r="C228" s="138" t="str">
        <f>TEXT(Таблица8[[#This Row],[Дата]],"М")</f>
        <v>3</v>
      </c>
      <c r="D228" s="144">
        <v>44621</v>
      </c>
      <c r="E228" s="143" t="s">
        <v>20</v>
      </c>
      <c r="F228" s="143" t="s">
        <v>99</v>
      </c>
      <c r="G228" s="147">
        <v>143</v>
      </c>
      <c r="H228" s="146"/>
      <c r="I228" s="142"/>
      <c r="J228" s="142"/>
    </row>
    <row r="229" spans="2:18" x14ac:dyDescent="0.2">
      <c r="B229" s="143">
        <f t="shared" si="3"/>
        <v>10</v>
      </c>
      <c r="C229" s="138" t="str">
        <f>TEXT(Таблица8[[#This Row],[Дата]],"М")</f>
        <v>3</v>
      </c>
      <c r="D229" s="144">
        <v>44621</v>
      </c>
      <c r="E229" s="143" t="s">
        <v>22</v>
      </c>
      <c r="F229" s="143" t="s">
        <v>38</v>
      </c>
      <c r="G229" s="147">
        <v>400</v>
      </c>
      <c r="H229" s="146"/>
      <c r="I229" s="142"/>
      <c r="J229" s="142"/>
    </row>
    <row r="230" spans="2:18" x14ac:dyDescent="0.2">
      <c r="B230" s="143">
        <f t="shared" si="3"/>
        <v>10</v>
      </c>
      <c r="C230" s="138" t="str">
        <f>TEXT(Таблица8[[#This Row],[Дата]],"М")</f>
        <v>3</v>
      </c>
      <c r="D230" s="144">
        <v>44621</v>
      </c>
      <c r="E230" s="143" t="s">
        <v>19</v>
      </c>
      <c r="F230" s="143" t="s">
        <v>96</v>
      </c>
      <c r="G230" s="147">
        <v>44</v>
      </c>
      <c r="H230" s="146"/>
      <c r="I230" s="142"/>
      <c r="J230" s="142"/>
    </row>
    <row r="231" spans="2:18" x14ac:dyDescent="0.2">
      <c r="B231" s="137">
        <f t="shared" si="3"/>
        <v>10</v>
      </c>
      <c r="C231" s="138" t="str">
        <f>TEXT(Таблица8[[#This Row],[Дата]],"М")</f>
        <v>3</v>
      </c>
      <c r="D231" s="139">
        <v>44622</v>
      </c>
      <c r="E231" s="137" t="s">
        <v>72</v>
      </c>
      <c r="F231" s="137" t="s">
        <v>43</v>
      </c>
      <c r="G231" s="140">
        <v>41</v>
      </c>
      <c r="H231" s="141"/>
      <c r="I231" s="142"/>
      <c r="J231" s="142"/>
    </row>
    <row r="232" spans="2:18" x14ac:dyDescent="0.2">
      <c r="B232" s="143">
        <f t="shared" si="3"/>
        <v>10</v>
      </c>
      <c r="C232" s="138" t="str">
        <f>TEXT(Таблица8[[#This Row],[Дата]],"М")</f>
        <v>3</v>
      </c>
      <c r="D232" s="144">
        <v>44622</v>
      </c>
      <c r="E232" s="143" t="s">
        <v>20</v>
      </c>
      <c r="F232" s="143" t="s">
        <v>99</v>
      </c>
      <c r="G232" s="147">
        <v>160</v>
      </c>
      <c r="H232" s="146"/>
      <c r="I232" s="142"/>
      <c r="J232" s="142"/>
    </row>
    <row r="233" spans="2:18" x14ac:dyDescent="0.2">
      <c r="B233" s="143">
        <f t="shared" si="3"/>
        <v>10</v>
      </c>
      <c r="C233" s="138" t="str">
        <f>TEXT(Таблица8[[#This Row],[Дата]],"М")</f>
        <v>3</v>
      </c>
      <c r="D233" s="144">
        <v>44622</v>
      </c>
      <c r="E233" s="143" t="s">
        <v>19</v>
      </c>
      <c r="F233" s="143" t="s">
        <v>96</v>
      </c>
      <c r="G233" s="147">
        <v>287</v>
      </c>
      <c r="H233" s="146"/>
      <c r="I233" s="142"/>
      <c r="J233" s="142"/>
    </row>
    <row r="234" spans="2:18" x14ac:dyDescent="0.2">
      <c r="B234" s="137">
        <f t="shared" si="3"/>
        <v>10</v>
      </c>
      <c r="C234" s="138" t="str">
        <f>TEXT(Таблица8[[#This Row],[Дата]],"М")</f>
        <v>3</v>
      </c>
      <c r="D234" s="139">
        <v>44623</v>
      </c>
      <c r="E234" s="137" t="s">
        <v>72</v>
      </c>
      <c r="F234" s="137" t="s">
        <v>43</v>
      </c>
      <c r="G234" s="140">
        <v>42</v>
      </c>
      <c r="H234" s="141"/>
      <c r="I234" s="142"/>
      <c r="J234" s="142"/>
    </row>
    <row r="235" spans="2:18" x14ac:dyDescent="0.2">
      <c r="B235" s="143">
        <f t="shared" si="3"/>
        <v>10</v>
      </c>
      <c r="C235" s="138" t="str">
        <f>TEXT(Таблица8[[#This Row],[Дата]],"М")</f>
        <v>3</v>
      </c>
      <c r="D235" s="144">
        <v>44623</v>
      </c>
      <c r="E235" s="143" t="s">
        <v>20</v>
      </c>
      <c r="F235" s="143" t="s">
        <v>99</v>
      </c>
      <c r="G235" s="147">
        <v>133</v>
      </c>
      <c r="H235" s="146"/>
      <c r="I235" s="142"/>
      <c r="J235" s="142"/>
    </row>
    <row r="236" spans="2:18" x14ac:dyDescent="0.2">
      <c r="B236" s="143">
        <f t="shared" si="3"/>
        <v>10</v>
      </c>
      <c r="C236" s="138" t="str">
        <f>TEXT(Таблица8[[#This Row],[Дата]],"М")</f>
        <v>3</v>
      </c>
      <c r="D236" s="144">
        <v>44623</v>
      </c>
      <c r="E236" s="143" t="s">
        <v>20</v>
      </c>
      <c r="F236" s="143" t="s">
        <v>97</v>
      </c>
      <c r="G236" s="147">
        <v>150</v>
      </c>
      <c r="H236" s="146"/>
      <c r="I236" s="142"/>
      <c r="J236" s="142"/>
    </row>
    <row r="237" spans="2:18" ht="17.25" customHeight="1" x14ac:dyDescent="0.2">
      <c r="B237" s="143">
        <f t="shared" si="3"/>
        <v>10</v>
      </c>
      <c r="C237" s="138" t="str">
        <f>TEXT(Таблица8[[#This Row],[Дата]],"М")</f>
        <v>3</v>
      </c>
      <c r="D237" s="144">
        <v>44623</v>
      </c>
      <c r="E237" s="143" t="s">
        <v>71</v>
      </c>
      <c r="F237" s="143" t="s">
        <v>94</v>
      </c>
      <c r="G237" s="147">
        <v>64</v>
      </c>
      <c r="H237" s="146"/>
      <c r="I237" s="142"/>
      <c r="J237" s="142"/>
    </row>
    <row r="238" spans="2:18" x14ac:dyDescent="0.2">
      <c r="B238" s="143">
        <f t="shared" si="3"/>
        <v>10</v>
      </c>
      <c r="C238" s="138" t="str">
        <f>TEXT(Таблица8[[#This Row],[Дата]],"М")</f>
        <v>3</v>
      </c>
      <c r="D238" s="144">
        <v>44623</v>
      </c>
      <c r="E238" s="143" t="s">
        <v>26</v>
      </c>
      <c r="F238" s="143" t="s">
        <v>120</v>
      </c>
      <c r="G238" s="147">
        <v>169</v>
      </c>
      <c r="H238" s="146"/>
      <c r="I238" s="142"/>
      <c r="J238" s="142"/>
    </row>
    <row r="239" spans="2:18" x14ac:dyDescent="0.2">
      <c r="B239" s="143">
        <f t="shared" si="3"/>
        <v>10</v>
      </c>
      <c r="C239" s="138" t="str">
        <f>TEXT(Таблица8[[#This Row],[Дата]],"М")</f>
        <v>3</v>
      </c>
      <c r="D239" s="144">
        <v>44623</v>
      </c>
      <c r="E239" s="143" t="s">
        <v>20</v>
      </c>
      <c r="F239" s="143" t="s">
        <v>118</v>
      </c>
      <c r="G239" s="147">
        <v>150</v>
      </c>
      <c r="H239" s="146"/>
      <c r="I239" s="142"/>
      <c r="J239" s="142"/>
    </row>
    <row r="240" spans="2:18" x14ac:dyDescent="0.2">
      <c r="B240" s="143">
        <f t="shared" si="3"/>
        <v>10</v>
      </c>
      <c r="C240" s="138" t="str">
        <f>TEXT(Таблица8[[#This Row],[Дата]],"М")</f>
        <v>3</v>
      </c>
      <c r="D240" s="144">
        <v>44623</v>
      </c>
      <c r="E240" s="143" t="s">
        <v>24</v>
      </c>
      <c r="F240" s="143" t="s">
        <v>119</v>
      </c>
      <c r="G240" s="147">
        <v>503</v>
      </c>
      <c r="H240" s="146"/>
      <c r="I240" s="142"/>
      <c r="J240" s="142"/>
    </row>
    <row r="241" spans="2:18" x14ac:dyDescent="0.2">
      <c r="B241" s="143">
        <f t="shared" si="3"/>
        <v>10</v>
      </c>
      <c r="C241" s="138" t="str">
        <f>TEXT(Таблица8[[#This Row],[Дата]],"М")</f>
        <v>3</v>
      </c>
      <c r="D241" s="144">
        <v>44623</v>
      </c>
      <c r="E241" s="143" t="s">
        <v>22</v>
      </c>
      <c r="F241" s="143" t="s">
        <v>38</v>
      </c>
      <c r="G241" s="147">
        <v>200</v>
      </c>
      <c r="H241" s="146"/>
      <c r="I241" s="142"/>
      <c r="J241" s="142"/>
    </row>
    <row r="242" spans="2:18" x14ac:dyDescent="0.2">
      <c r="B242" s="137">
        <f t="shared" si="3"/>
        <v>10</v>
      </c>
      <c r="C242" s="138" t="str">
        <f>TEXT(Таблица8[[#This Row],[Дата]],"М")</f>
        <v>3</v>
      </c>
      <c r="D242" s="139">
        <v>44624</v>
      </c>
      <c r="E242" s="137" t="s">
        <v>72</v>
      </c>
      <c r="F242" s="137" t="s">
        <v>43</v>
      </c>
      <c r="G242" s="140">
        <v>43</v>
      </c>
      <c r="H242" s="141"/>
      <c r="I242" s="142"/>
      <c r="J242" s="142"/>
    </row>
    <row r="243" spans="2:18" x14ac:dyDescent="0.2">
      <c r="B243" s="143">
        <f t="shared" si="3"/>
        <v>10</v>
      </c>
      <c r="C243" s="138" t="str">
        <f>TEXT(Таблица8[[#This Row],[Дата]],"М")</f>
        <v>3</v>
      </c>
      <c r="D243" s="144">
        <v>44624</v>
      </c>
      <c r="E243" s="143" t="s">
        <v>20</v>
      </c>
      <c r="F243" s="143" t="s">
        <v>99</v>
      </c>
      <c r="G243" s="147">
        <f>257-69</f>
        <v>188</v>
      </c>
      <c r="H243" s="146"/>
      <c r="I243" s="142"/>
      <c r="J243" s="142"/>
    </row>
    <row r="244" spans="2:18" x14ac:dyDescent="0.2">
      <c r="B244" s="143">
        <f t="shared" si="3"/>
        <v>10</v>
      </c>
      <c r="C244" s="138" t="str">
        <f>TEXT(Таблица8[[#This Row],[Дата]],"М")</f>
        <v>3</v>
      </c>
      <c r="D244" s="144">
        <v>44624</v>
      </c>
      <c r="E244" s="143" t="s">
        <v>20</v>
      </c>
      <c r="F244" s="143" t="s">
        <v>118</v>
      </c>
      <c r="G244" s="147">
        <v>170</v>
      </c>
      <c r="H244" s="146"/>
      <c r="I244" s="142"/>
      <c r="J244" s="142"/>
    </row>
    <row r="245" spans="2:18" x14ac:dyDescent="0.2">
      <c r="B245" s="143">
        <f t="shared" si="3"/>
        <v>10</v>
      </c>
      <c r="C245" s="138" t="str">
        <f>TEXT(Таблица8[[#This Row],[Дата]],"М")</f>
        <v>3</v>
      </c>
      <c r="D245" s="144">
        <v>44624</v>
      </c>
      <c r="E245" s="143" t="s">
        <v>71</v>
      </c>
      <c r="F245" s="143" t="s">
        <v>94</v>
      </c>
      <c r="G245" s="147">
        <f>32*3</f>
        <v>96</v>
      </c>
      <c r="H245" s="146"/>
      <c r="I245" s="142"/>
      <c r="J245" s="142"/>
    </row>
    <row r="246" spans="2:18" x14ac:dyDescent="0.2">
      <c r="B246" s="143">
        <f t="shared" si="3"/>
        <v>10</v>
      </c>
      <c r="C246" s="138" t="str">
        <f>TEXT(Таблица8[[#This Row],[Дата]],"М")</f>
        <v>3</v>
      </c>
      <c r="D246" s="144">
        <v>44624</v>
      </c>
      <c r="E246" s="143" t="s">
        <v>20</v>
      </c>
      <c r="F246" s="143" t="s">
        <v>95</v>
      </c>
      <c r="G246" s="147">
        <v>19</v>
      </c>
      <c r="H246" s="146"/>
      <c r="I246" s="142"/>
      <c r="J246" s="142"/>
    </row>
    <row r="247" spans="2:18" x14ac:dyDescent="0.2">
      <c r="B247" s="143">
        <f t="shared" si="3"/>
        <v>10</v>
      </c>
      <c r="C247" s="138" t="str">
        <f>TEXT(Таблица8[[#This Row],[Дата]],"М")</f>
        <v>3</v>
      </c>
      <c r="D247" s="144">
        <v>44624</v>
      </c>
      <c r="E247" s="143" t="s">
        <v>72</v>
      </c>
      <c r="F247" s="143" t="s">
        <v>44</v>
      </c>
      <c r="G247" s="147">
        <v>100</v>
      </c>
      <c r="H247" s="146"/>
      <c r="I247" s="142"/>
      <c r="J247" s="142"/>
    </row>
    <row r="248" spans="2:18" ht="14.25" x14ac:dyDescent="0.2">
      <c r="B248" s="143">
        <f t="shared" si="3"/>
        <v>10</v>
      </c>
      <c r="C248" s="138" t="str">
        <f>TEXT(Таблица8[[#This Row],[Дата]],"М")</f>
        <v>3</v>
      </c>
      <c r="D248" s="144">
        <v>44624</v>
      </c>
      <c r="E248" s="143" t="s">
        <v>72</v>
      </c>
      <c r="F248" s="143" t="s">
        <v>43</v>
      </c>
      <c r="G248" s="147">
        <v>100</v>
      </c>
      <c r="H248" s="146"/>
      <c r="I248" s="142"/>
      <c r="J248" s="142"/>
      <c r="K248" s="120"/>
      <c r="L248" s="120"/>
      <c r="M248" s="120"/>
      <c r="N248" s="120"/>
      <c r="O248" s="130"/>
      <c r="Q248" s="120"/>
      <c r="R248" s="120"/>
    </row>
    <row r="249" spans="2:18" x14ac:dyDescent="0.2">
      <c r="B249" s="137">
        <f t="shared" si="3"/>
        <v>10</v>
      </c>
      <c r="C249" s="138" t="str">
        <f>TEXT(Таблица8[[#This Row],[Дата]],"М")</f>
        <v>3</v>
      </c>
      <c r="D249" s="139">
        <v>44625</v>
      </c>
      <c r="E249" s="137" t="s">
        <v>72</v>
      </c>
      <c r="F249" s="137" t="s">
        <v>43</v>
      </c>
      <c r="G249" s="140">
        <v>44</v>
      </c>
      <c r="H249" s="141"/>
      <c r="I249" s="142"/>
      <c r="J249" s="142"/>
    </row>
    <row r="250" spans="2:18" x14ac:dyDescent="0.2">
      <c r="B250" s="143">
        <f t="shared" si="3"/>
        <v>10</v>
      </c>
      <c r="C250" s="138" t="str">
        <f>TEXT(Таблица8[[#This Row],[Дата]],"М")</f>
        <v>3</v>
      </c>
      <c r="D250" s="144">
        <v>44625</v>
      </c>
      <c r="E250" s="143" t="s">
        <v>71</v>
      </c>
      <c r="F250" s="143" t="s">
        <v>115</v>
      </c>
      <c r="G250" s="147">
        <f>260</f>
        <v>260</v>
      </c>
      <c r="H250" s="146"/>
      <c r="I250" s="142"/>
      <c r="J250" s="142"/>
    </row>
    <row r="251" spans="2:18" x14ac:dyDescent="0.2">
      <c r="B251" s="143">
        <f t="shared" si="3"/>
        <v>10</v>
      </c>
      <c r="C251" s="138" t="str">
        <f>TEXT(Таблица8[[#This Row],[Дата]],"М")</f>
        <v>3</v>
      </c>
      <c r="D251" s="144">
        <v>44625</v>
      </c>
      <c r="E251" s="143" t="s">
        <v>20</v>
      </c>
      <c r="F251" s="143" t="s">
        <v>99</v>
      </c>
      <c r="G251" s="147">
        <v>221</v>
      </c>
      <c r="H251" s="146"/>
      <c r="I251" s="142"/>
      <c r="J251" s="142"/>
    </row>
    <row r="252" spans="2:18" x14ac:dyDescent="0.2">
      <c r="B252" s="143">
        <f t="shared" si="3"/>
        <v>10</v>
      </c>
      <c r="C252" s="138" t="str">
        <f>TEXT(Таблица8[[#This Row],[Дата]],"М")</f>
        <v>3</v>
      </c>
      <c r="D252" s="144">
        <v>44625</v>
      </c>
      <c r="E252" s="143" t="s">
        <v>19</v>
      </c>
      <c r="F252" s="143" t="s">
        <v>116</v>
      </c>
      <c r="G252" s="147">
        <v>120</v>
      </c>
      <c r="H252" s="146"/>
      <c r="I252" s="142"/>
      <c r="J252" s="142"/>
    </row>
    <row r="253" spans="2:18" x14ac:dyDescent="0.2">
      <c r="B253" s="143">
        <f t="shared" si="3"/>
        <v>10</v>
      </c>
      <c r="C253" s="138" t="str">
        <f>TEXT(Таблица8[[#This Row],[Дата]],"М")</f>
        <v>3</v>
      </c>
      <c r="D253" s="144">
        <v>44625</v>
      </c>
      <c r="E253" s="143" t="s">
        <v>30</v>
      </c>
      <c r="F253" s="143" t="s">
        <v>92</v>
      </c>
      <c r="G253" s="147">
        <v>1240</v>
      </c>
      <c r="H253" s="146"/>
      <c r="I253" s="142"/>
      <c r="J253" s="142"/>
    </row>
    <row r="254" spans="2:18" x14ac:dyDescent="0.2">
      <c r="B254" s="137">
        <f t="shared" si="3"/>
        <v>11</v>
      </c>
      <c r="C254" s="138" t="str">
        <f>TEXT(Таблица8[[#This Row],[Дата]],"М")</f>
        <v>3</v>
      </c>
      <c r="D254" s="139">
        <v>44626</v>
      </c>
      <c r="E254" s="137" t="s">
        <v>72</v>
      </c>
      <c r="F254" s="137" t="s">
        <v>43</v>
      </c>
      <c r="G254" s="140">
        <v>45</v>
      </c>
      <c r="H254" s="141"/>
      <c r="I254" s="142"/>
      <c r="J254" s="142"/>
    </row>
    <row r="255" spans="2:18" x14ac:dyDescent="0.2">
      <c r="B255" s="143">
        <f t="shared" ref="B255:B318" si="4">WEEKNUM(D255)</f>
        <v>11</v>
      </c>
      <c r="C255" s="138" t="str">
        <f>TEXT(Таблица8[[#This Row],[Дата]],"М")</f>
        <v>3</v>
      </c>
      <c r="D255" s="144">
        <v>44626</v>
      </c>
      <c r="E255" s="143" t="s">
        <v>30</v>
      </c>
      <c r="F255" s="143" t="s">
        <v>92</v>
      </c>
      <c r="G255" s="147">
        <f>750+250+80+110</f>
        <v>1190</v>
      </c>
      <c r="H255" s="146"/>
      <c r="I255" s="142"/>
      <c r="J255" s="142"/>
    </row>
    <row r="256" spans="2:18" ht="15" customHeight="1" x14ac:dyDescent="0.2">
      <c r="B256" s="137">
        <f t="shared" si="4"/>
        <v>11</v>
      </c>
      <c r="C256" s="138" t="str">
        <f>TEXT(Таблица8[[#This Row],[Дата]],"М")</f>
        <v>3</v>
      </c>
      <c r="D256" s="139">
        <v>44627</v>
      </c>
      <c r="E256" s="137" t="s">
        <v>72</v>
      </c>
      <c r="F256" s="137" t="s">
        <v>41</v>
      </c>
      <c r="G256" s="140">
        <v>450</v>
      </c>
      <c r="H256" s="141"/>
      <c r="I256" s="142"/>
      <c r="J256" s="142"/>
    </row>
    <row r="257" spans="2:10" x14ac:dyDescent="0.2">
      <c r="B257" s="143">
        <f t="shared" si="4"/>
        <v>11</v>
      </c>
      <c r="C257" s="138" t="str">
        <f>TEXT(Таблица8[[#This Row],[Дата]],"М")</f>
        <v>3</v>
      </c>
      <c r="D257" s="144">
        <v>44627</v>
      </c>
      <c r="E257" s="143" t="s">
        <v>71</v>
      </c>
      <c r="F257" s="143" t="s">
        <v>115</v>
      </c>
      <c r="G257" s="147">
        <v>276</v>
      </c>
      <c r="H257" s="146"/>
      <c r="I257" s="142"/>
      <c r="J257" s="142"/>
    </row>
    <row r="258" spans="2:10" x14ac:dyDescent="0.2">
      <c r="B258" s="143">
        <f t="shared" si="4"/>
        <v>11</v>
      </c>
      <c r="C258" s="138" t="str">
        <f>TEXT(Таблица8[[#This Row],[Дата]],"М")</f>
        <v>3</v>
      </c>
      <c r="D258" s="144">
        <v>44627</v>
      </c>
      <c r="E258" s="143" t="s">
        <v>19</v>
      </c>
      <c r="F258" s="143" t="s">
        <v>116</v>
      </c>
      <c r="G258" s="147">
        <f>17+80+600+27</f>
        <v>724</v>
      </c>
      <c r="H258" s="146"/>
      <c r="I258" s="142"/>
      <c r="J258" s="142"/>
    </row>
    <row r="259" spans="2:10" x14ac:dyDescent="0.2">
      <c r="B259" s="137">
        <f t="shared" si="4"/>
        <v>11</v>
      </c>
      <c r="C259" s="138" t="str">
        <f>TEXT(Таблица8[[#This Row],[Дата]],"М")</f>
        <v>3</v>
      </c>
      <c r="D259" s="139">
        <v>44628</v>
      </c>
      <c r="E259" s="137" t="s">
        <v>71</v>
      </c>
      <c r="F259" s="137" t="s">
        <v>94</v>
      </c>
      <c r="G259" s="163">
        <f>64</f>
        <v>64</v>
      </c>
      <c r="H259" s="141"/>
      <c r="I259" s="142"/>
      <c r="J259" s="142"/>
    </row>
    <row r="260" spans="2:10" x14ac:dyDescent="0.2">
      <c r="B260" s="143">
        <f t="shared" si="4"/>
        <v>11</v>
      </c>
      <c r="C260" s="138" t="str">
        <f>TEXT(Таблица8[[#This Row],[Дата]],"М")</f>
        <v>3</v>
      </c>
      <c r="D260" s="144">
        <v>44628</v>
      </c>
      <c r="E260" s="143" t="s">
        <v>26</v>
      </c>
      <c r="F260" s="143" t="s">
        <v>120</v>
      </c>
      <c r="G260" s="147">
        <v>220</v>
      </c>
      <c r="H260" s="146"/>
      <c r="I260" s="142"/>
      <c r="J260" s="142"/>
    </row>
    <row r="261" spans="2:10" x14ac:dyDescent="0.2">
      <c r="B261" s="143">
        <f t="shared" si="4"/>
        <v>11</v>
      </c>
      <c r="C261" s="138" t="str">
        <f>TEXT(Таблица8[[#This Row],[Дата]],"М")</f>
        <v>3</v>
      </c>
      <c r="D261" s="144">
        <v>44628</v>
      </c>
      <c r="E261" s="143" t="s">
        <v>19</v>
      </c>
      <c r="F261" s="143" t="s">
        <v>96</v>
      </c>
      <c r="G261" s="147">
        <v>85</v>
      </c>
      <c r="H261" s="146"/>
      <c r="I261" s="142"/>
      <c r="J261" s="142"/>
    </row>
    <row r="262" spans="2:10" x14ac:dyDescent="0.2">
      <c r="B262" s="137">
        <f t="shared" si="4"/>
        <v>11</v>
      </c>
      <c r="C262" s="138" t="str">
        <f>TEXT(Таблица8[[#This Row],[Дата]],"М")</f>
        <v>3</v>
      </c>
      <c r="D262" s="139">
        <v>44629</v>
      </c>
      <c r="E262" s="137" t="s">
        <v>72</v>
      </c>
      <c r="F262" s="137" t="s">
        <v>43</v>
      </c>
      <c r="G262" s="140">
        <v>100</v>
      </c>
      <c r="H262" s="141"/>
      <c r="I262" s="142"/>
      <c r="J262" s="142"/>
    </row>
    <row r="263" spans="2:10" x14ac:dyDescent="0.2">
      <c r="B263" s="143">
        <f t="shared" si="4"/>
        <v>11</v>
      </c>
      <c r="C263" s="138" t="str">
        <f>TEXT(Таблица8[[#This Row],[Дата]],"М")</f>
        <v>3</v>
      </c>
      <c r="D263" s="144">
        <v>44629</v>
      </c>
      <c r="E263" s="143" t="s">
        <v>72</v>
      </c>
      <c r="F263" s="143" t="s">
        <v>41</v>
      </c>
      <c r="G263" s="147">
        <v>100</v>
      </c>
      <c r="H263" s="146"/>
      <c r="I263" s="142"/>
      <c r="J263" s="142"/>
    </row>
    <row r="264" spans="2:10" x14ac:dyDescent="0.2">
      <c r="B264" s="143">
        <f t="shared" si="4"/>
        <v>11</v>
      </c>
      <c r="C264" s="138" t="str">
        <f>TEXT(Таблица8[[#This Row],[Дата]],"М")</f>
        <v>3</v>
      </c>
      <c r="D264" s="144">
        <v>44629</v>
      </c>
      <c r="E264" s="143" t="s">
        <v>72</v>
      </c>
      <c r="F264" s="143" t="s">
        <v>45</v>
      </c>
      <c r="G264" s="147">
        <v>100</v>
      </c>
      <c r="H264" s="146"/>
      <c r="I264" s="142"/>
      <c r="J264" s="142"/>
    </row>
    <row r="265" spans="2:10" x14ac:dyDescent="0.2">
      <c r="B265" s="143">
        <f t="shared" si="4"/>
        <v>11</v>
      </c>
      <c r="C265" s="138" t="str">
        <f>TEXT(Таблица8[[#This Row],[Дата]],"М")</f>
        <v>3</v>
      </c>
      <c r="D265" s="144">
        <v>44629</v>
      </c>
      <c r="E265" s="143" t="s">
        <v>71</v>
      </c>
      <c r="F265" s="143" t="s">
        <v>94</v>
      </c>
      <c r="G265" s="147">
        <f>64+32</f>
        <v>96</v>
      </c>
      <c r="H265" s="146"/>
      <c r="I265" s="142"/>
      <c r="J265" s="142"/>
    </row>
    <row r="266" spans="2:10" x14ac:dyDescent="0.2">
      <c r="B266" s="143">
        <f t="shared" si="4"/>
        <v>11</v>
      </c>
      <c r="C266" s="138" t="str">
        <f>TEXT(Таблица8[[#This Row],[Дата]],"М")</f>
        <v>3</v>
      </c>
      <c r="D266" s="144">
        <v>44629</v>
      </c>
      <c r="E266" s="143" t="s">
        <v>20</v>
      </c>
      <c r="F266" s="143" t="s">
        <v>99</v>
      </c>
      <c r="G266" s="147">
        <v>154</v>
      </c>
      <c r="H266" s="146"/>
      <c r="I266" s="142"/>
      <c r="J266" s="142"/>
    </row>
    <row r="267" spans="2:10" x14ac:dyDescent="0.2">
      <c r="B267" s="143">
        <f t="shared" si="4"/>
        <v>11</v>
      </c>
      <c r="C267" s="138" t="str">
        <f>TEXT(Таблица8[[#This Row],[Дата]],"М")</f>
        <v>3</v>
      </c>
      <c r="D267" s="144">
        <v>44629</v>
      </c>
      <c r="E267" s="143" t="s">
        <v>20</v>
      </c>
      <c r="F267" s="143" t="s">
        <v>118</v>
      </c>
      <c r="G267" s="147">
        <v>510</v>
      </c>
      <c r="H267" s="146"/>
      <c r="I267" s="142"/>
      <c r="J267" s="142"/>
    </row>
    <row r="268" spans="2:10" x14ac:dyDescent="0.2">
      <c r="B268" s="137">
        <f t="shared" si="4"/>
        <v>11</v>
      </c>
      <c r="C268" s="138" t="str">
        <f>TEXT(Таблица8[[#This Row],[Дата]],"М")</f>
        <v>3</v>
      </c>
      <c r="D268" s="139">
        <v>44630</v>
      </c>
      <c r="E268" s="137" t="s">
        <v>72</v>
      </c>
      <c r="F268" s="137" t="s">
        <v>121</v>
      </c>
      <c r="G268" s="140">
        <v>522</v>
      </c>
      <c r="H268" s="141"/>
      <c r="I268" s="142"/>
      <c r="J268" s="142"/>
    </row>
    <row r="269" spans="2:10" x14ac:dyDescent="0.2">
      <c r="B269" s="143">
        <f t="shared" si="4"/>
        <v>11</v>
      </c>
      <c r="C269" s="138" t="str">
        <f>TEXT(Таблица8[[#This Row],[Дата]],"М")</f>
        <v>3</v>
      </c>
      <c r="D269" s="144">
        <v>44630</v>
      </c>
      <c r="E269" s="143" t="s">
        <v>72</v>
      </c>
      <c r="F269" s="143" t="s">
        <v>43</v>
      </c>
      <c r="G269" s="147">
        <v>22</v>
      </c>
      <c r="H269" s="146"/>
      <c r="I269" s="142"/>
      <c r="J269" s="142"/>
    </row>
    <row r="270" spans="2:10" x14ac:dyDescent="0.2">
      <c r="B270" s="143">
        <f t="shared" si="4"/>
        <v>11</v>
      </c>
      <c r="C270" s="138" t="str">
        <f>TEXT(Таблица8[[#This Row],[Дата]],"М")</f>
        <v>3</v>
      </c>
      <c r="D270" s="144">
        <v>44630</v>
      </c>
      <c r="E270" s="143" t="s">
        <v>20</v>
      </c>
      <c r="F270" s="143" t="s">
        <v>99</v>
      </c>
      <c r="G270" s="147">
        <v>170</v>
      </c>
      <c r="H270" s="146"/>
      <c r="I270" s="142"/>
      <c r="J270" s="142"/>
    </row>
    <row r="271" spans="2:10" x14ac:dyDescent="0.2">
      <c r="B271" s="143">
        <f t="shared" si="4"/>
        <v>11</v>
      </c>
      <c r="C271" s="138" t="str">
        <f>TEXT(Таблица8[[#This Row],[Дата]],"М")</f>
        <v>3</v>
      </c>
      <c r="D271" s="144">
        <v>44630</v>
      </c>
      <c r="E271" s="143" t="s">
        <v>19</v>
      </c>
      <c r="F271" s="143" t="s">
        <v>96</v>
      </c>
      <c r="G271" s="147">
        <f>32+80</f>
        <v>112</v>
      </c>
      <c r="H271" s="146"/>
      <c r="I271" s="142"/>
      <c r="J271" s="142"/>
    </row>
    <row r="272" spans="2:10" x14ac:dyDescent="0.2">
      <c r="B272" s="137">
        <f t="shared" si="4"/>
        <v>11</v>
      </c>
      <c r="C272" s="138" t="str">
        <f>TEXT(Таблица8[[#This Row],[Дата]],"М")</f>
        <v>3</v>
      </c>
      <c r="D272" s="139">
        <v>44631</v>
      </c>
      <c r="E272" s="137" t="s">
        <v>20</v>
      </c>
      <c r="F272" s="137" t="s">
        <v>99</v>
      </c>
      <c r="G272" s="140">
        <v>102</v>
      </c>
      <c r="H272" s="141"/>
      <c r="I272" s="142"/>
      <c r="J272" s="142"/>
    </row>
    <row r="273" spans="2:11" x14ac:dyDescent="0.2">
      <c r="B273" s="143">
        <f t="shared" si="4"/>
        <v>11</v>
      </c>
      <c r="C273" s="138" t="str">
        <f>TEXT(Таблица8[[#This Row],[Дата]],"М")</f>
        <v>3</v>
      </c>
      <c r="D273" s="144">
        <v>44631</v>
      </c>
      <c r="E273" s="143" t="s">
        <v>19</v>
      </c>
      <c r="F273" s="143" t="s">
        <v>96</v>
      </c>
      <c r="G273" s="147">
        <f>60+115</f>
        <v>175</v>
      </c>
      <c r="H273" s="146"/>
      <c r="I273" s="142"/>
      <c r="J273" s="142"/>
    </row>
    <row r="274" spans="2:11" x14ac:dyDescent="0.2">
      <c r="B274" s="137">
        <f t="shared" si="4"/>
        <v>11</v>
      </c>
      <c r="C274" s="138" t="str">
        <f>TEXT(Таблица8[[#This Row],[Дата]],"М")</f>
        <v>3</v>
      </c>
      <c r="D274" s="139">
        <v>44632</v>
      </c>
      <c r="E274" s="137" t="s">
        <v>71</v>
      </c>
      <c r="F274" s="137" t="s">
        <v>94</v>
      </c>
      <c r="G274" s="140">
        <v>64</v>
      </c>
      <c r="H274" s="141"/>
      <c r="I274" s="142"/>
      <c r="J274" s="142"/>
      <c r="K274" s="164"/>
    </row>
    <row r="275" spans="2:11" x14ac:dyDescent="0.2">
      <c r="B275" s="143">
        <f t="shared" si="4"/>
        <v>11</v>
      </c>
      <c r="C275" s="138" t="str">
        <f>TEXT(Таблица8[[#This Row],[Дата]],"М")</f>
        <v>3</v>
      </c>
      <c r="D275" s="144">
        <v>44632</v>
      </c>
      <c r="E275" s="143" t="s">
        <v>19</v>
      </c>
      <c r="F275" s="143" t="s">
        <v>96</v>
      </c>
      <c r="G275" s="147">
        <v>215</v>
      </c>
      <c r="H275" s="146"/>
      <c r="I275" s="142"/>
      <c r="J275" s="142"/>
      <c r="K275" s="164"/>
    </row>
    <row r="276" spans="2:11" x14ac:dyDescent="0.2">
      <c r="B276" s="137">
        <f t="shared" si="4"/>
        <v>12</v>
      </c>
      <c r="C276" s="138" t="str">
        <f>TEXT(Таблица8[[#This Row],[Дата]],"М")</f>
        <v>3</v>
      </c>
      <c r="D276" s="139">
        <v>44633</v>
      </c>
      <c r="E276" s="137" t="s">
        <v>19</v>
      </c>
      <c r="F276" s="137" t="s">
        <v>96</v>
      </c>
      <c r="G276" s="140">
        <f>75</f>
        <v>75</v>
      </c>
      <c r="H276" s="141"/>
      <c r="I276" s="142"/>
      <c r="J276" s="142"/>
    </row>
    <row r="277" spans="2:11" x14ac:dyDescent="0.2">
      <c r="B277" s="143">
        <f t="shared" si="4"/>
        <v>12</v>
      </c>
      <c r="C277" s="138" t="str">
        <f>TEXT(Таблица8[[#This Row],[Дата]],"М")</f>
        <v>3</v>
      </c>
      <c r="D277" s="144">
        <v>44633</v>
      </c>
      <c r="E277" s="143" t="s">
        <v>22</v>
      </c>
      <c r="F277" s="143" t="s">
        <v>38</v>
      </c>
      <c r="G277" s="147">
        <v>750</v>
      </c>
      <c r="H277" s="146"/>
      <c r="I277" s="142"/>
      <c r="J277" s="142"/>
    </row>
    <row r="278" spans="2:11" x14ac:dyDescent="0.2">
      <c r="B278" s="143">
        <f t="shared" si="4"/>
        <v>12</v>
      </c>
      <c r="C278" s="138" t="str">
        <f>TEXT(Таблица8[[#This Row],[Дата]],"М")</f>
        <v>3</v>
      </c>
      <c r="D278" s="144">
        <v>44633</v>
      </c>
      <c r="E278" s="143" t="s">
        <v>20</v>
      </c>
      <c r="F278" s="143" t="s">
        <v>102</v>
      </c>
      <c r="G278" s="147">
        <v>100</v>
      </c>
      <c r="H278" s="146"/>
      <c r="I278" s="142"/>
      <c r="J278" s="142"/>
    </row>
    <row r="279" spans="2:11" x14ac:dyDescent="0.2">
      <c r="B279" s="143">
        <f t="shared" si="4"/>
        <v>12</v>
      </c>
      <c r="C279" s="138" t="str">
        <f>TEXT(Таблица8[[#This Row],[Дата]],"М")</f>
        <v>3</v>
      </c>
      <c r="D279" s="144">
        <v>44633</v>
      </c>
      <c r="E279" s="143" t="s">
        <v>71</v>
      </c>
      <c r="F279" s="143" t="s">
        <v>94</v>
      </c>
      <c r="G279" s="147">
        <v>64</v>
      </c>
      <c r="H279" s="146"/>
      <c r="I279" s="142"/>
      <c r="J279" s="142"/>
    </row>
    <row r="280" spans="2:11" x14ac:dyDescent="0.2">
      <c r="B280" s="137">
        <f t="shared" si="4"/>
        <v>12</v>
      </c>
      <c r="C280" s="138" t="str">
        <f>TEXT(Таблица8[[#This Row],[Дата]],"М")</f>
        <v>3</v>
      </c>
      <c r="D280" s="139">
        <v>44634</v>
      </c>
      <c r="E280" s="137" t="s">
        <v>20</v>
      </c>
      <c r="F280" s="137" t="s">
        <v>99</v>
      </c>
      <c r="G280" s="140">
        <f>42+103</f>
        <v>145</v>
      </c>
      <c r="H280" s="141"/>
      <c r="I280" s="142"/>
      <c r="J280" s="142"/>
    </row>
    <row r="281" spans="2:11" x14ac:dyDescent="0.2">
      <c r="B281" s="137">
        <f t="shared" si="4"/>
        <v>12</v>
      </c>
      <c r="C281" s="138" t="str">
        <f>TEXT(Таблица8[[#This Row],[Дата]],"М")</f>
        <v>3</v>
      </c>
      <c r="D281" s="139">
        <v>44635</v>
      </c>
      <c r="E281" s="137" t="s">
        <v>72</v>
      </c>
      <c r="F281" s="137" t="s">
        <v>121</v>
      </c>
      <c r="G281" s="140">
        <v>94</v>
      </c>
      <c r="H281" s="141"/>
      <c r="I281" s="142"/>
      <c r="J281" s="142"/>
    </row>
    <row r="282" spans="2:11" x14ac:dyDescent="0.2">
      <c r="B282" s="143">
        <f t="shared" si="4"/>
        <v>12</v>
      </c>
      <c r="C282" s="138" t="str">
        <f>TEXT(Таблица8[[#This Row],[Дата]],"М")</f>
        <v>3</v>
      </c>
      <c r="D282" s="144">
        <v>44635</v>
      </c>
      <c r="E282" s="143" t="s">
        <v>72</v>
      </c>
      <c r="F282" s="143" t="s">
        <v>43</v>
      </c>
      <c r="G282" s="147">
        <v>200</v>
      </c>
      <c r="H282" s="146"/>
      <c r="I282" s="142"/>
      <c r="J282" s="142"/>
    </row>
    <row r="283" spans="2:11" x14ac:dyDescent="0.2">
      <c r="B283" s="143">
        <f t="shared" si="4"/>
        <v>12</v>
      </c>
      <c r="C283" s="138" t="str">
        <f>TEXT(Таблица8[[#This Row],[Дата]],"М")</f>
        <v>3</v>
      </c>
      <c r="D283" s="144">
        <v>44635</v>
      </c>
      <c r="E283" s="143" t="s">
        <v>72</v>
      </c>
      <c r="F283" s="143" t="s">
        <v>44</v>
      </c>
      <c r="G283" s="147">
        <v>150</v>
      </c>
      <c r="H283" s="146"/>
      <c r="I283" s="142"/>
      <c r="J283" s="142"/>
    </row>
    <row r="284" spans="2:11" x14ac:dyDescent="0.2">
      <c r="B284" s="143">
        <f t="shared" si="4"/>
        <v>12</v>
      </c>
      <c r="C284" s="138" t="str">
        <f>TEXT(Таблица8[[#This Row],[Дата]],"М")</f>
        <v>3</v>
      </c>
      <c r="D284" s="144">
        <v>44635</v>
      </c>
      <c r="E284" s="143" t="s">
        <v>72</v>
      </c>
      <c r="F284" s="143" t="s">
        <v>45</v>
      </c>
      <c r="G284" s="147">
        <v>100</v>
      </c>
      <c r="H284" s="146"/>
      <c r="I284" s="142"/>
      <c r="J284" s="142"/>
    </row>
    <row r="285" spans="2:11" x14ac:dyDescent="0.2">
      <c r="B285" s="143">
        <f t="shared" si="4"/>
        <v>12</v>
      </c>
      <c r="C285" s="138" t="str">
        <f>TEXT(Таблица8[[#This Row],[Дата]],"М")</f>
        <v>3</v>
      </c>
      <c r="D285" s="144">
        <v>44635</v>
      </c>
      <c r="E285" s="143" t="s">
        <v>72</v>
      </c>
      <c r="F285" s="143" t="s">
        <v>40</v>
      </c>
      <c r="G285" s="147">
        <v>200</v>
      </c>
      <c r="H285" s="146"/>
      <c r="I285" s="142"/>
      <c r="J285" s="142"/>
    </row>
    <row r="286" spans="2:11" x14ac:dyDescent="0.2">
      <c r="B286" s="143">
        <f t="shared" si="4"/>
        <v>12</v>
      </c>
      <c r="C286" s="138" t="str">
        <f>TEXT(Таблица8[[#This Row],[Дата]],"М")</f>
        <v>3</v>
      </c>
      <c r="D286" s="144">
        <v>44635</v>
      </c>
      <c r="E286" s="143" t="s">
        <v>20</v>
      </c>
      <c r="F286" s="143" t="s">
        <v>99</v>
      </c>
      <c r="G286" s="147">
        <f>125+32</f>
        <v>157</v>
      </c>
      <c r="H286" s="146"/>
      <c r="I286" s="142"/>
      <c r="J286" s="142"/>
    </row>
    <row r="287" spans="2:11" x14ac:dyDescent="0.2">
      <c r="B287" s="143">
        <f t="shared" si="4"/>
        <v>12</v>
      </c>
      <c r="C287" s="138" t="str">
        <f>TEXT(Таблица8[[#This Row],[Дата]],"М")</f>
        <v>3</v>
      </c>
      <c r="D287" s="144">
        <v>44635</v>
      </c>
      <c r="E287" s="143" t="s">
        <v>22</v>
      </c>
      <c r="F287" s="143" t="s">
        <v>38</v>
      </c>
      <c r="G287" s="147">
        <v>150</v>
      </c>
      <c r="H287" s="146"/>
      <c r="I287" s="142"/>
      <c r="J287" s="142"/>
    </row>
    <row r="288" spans="2:11" x14ac:dyDescent="0.2">
      <c r="B288" s="143">
        <f t="shared" si="4"/>
        <v>12</v>
      </c>
      <c r="C288" s="138" t="str">
        <f>TEXT(Таблица8[[#This Row],[Дата]],"М")</f>
        <v>3</v>
      </c>
      <c r="D288" s="144">
        <v>44635</v>
      </c>
      <c r="E288" s="143" t="s">
        <v>23</v>
      </c>
      <c r="F288" s="143" t="s">
        <v>103</v>
      </c>
      <c r="G288" s="147">
        <v>172</v>
      </c>
      <c r="H288" s="146"/>
      <c r="I288" s="142"/>
      <c r="J288" s="142"/>
    </row>
    <row r="289" spans="2:10" x14ac:dyDescent="0.2">
      <c r="B289" s="143">
        <f t="shared" si="4"/>
        <v>12</v>
      </c>
      <c r="C289" s="138" t="str">
        <f>TEXT(Таблица8[[#This Row],[Дата]],"М")</f>
        <v>3</v>
      </c>
      <c r="D289" s="144">
        <v>44635</v>
      </c>
      <c r="E289" s="143" t="s">
        <v>19</v>
      </c>
      <c r="F289" s="143" t="s">
        <v>116</v>
      </c>
      <c r="G289" s="147">
        <v>671</v>
      </c>
      <c r="H289" s="146"/>
      <c r="I289" s="142"/>
      <c r="J289" s="142"/>
    </row>
    <row r="290" spans="2:10" x14ac:dyDescent="0.2">
      <c r="B290" s="137">
        <f t="shared" si="4"/>
        <v>12</v>
      </c>
      <c r="C290" s="138" t="str">
        <f>TEXT(Таблица8[[#This Row],[Дата]],"М")</f>
        <v>3</v>
      </c>
      <c r="D290" s="139">
        <v>44636</v>
      </c>
      <c r="E290" s="137" t="s">
        <v>20</v>
      </c>
      <c r="F290" s="137" t="s">
        <v>99</v>
      </c>
      <c r="G290" s="140">
        <v>163</v>
      </c>
      <c r="H290" s="141"/>
      <c r="I290" s="142"/>
      <c r="J290" s="142"/>
    </row>
    <row r="291" spans="2:10" x14ac:dyDescent="0.2">
      <c r="B291" s="143">
        <f t="shared" si="4"/>
        <v>12</v>
      </c>
      <c r="C291" s="138" t="str">
        <f>TEXT(Таблица8[[#This Row],[Дата]],"М")</f>
        <v>3</v>
      </c>
      <c r="D291" s="144">
        <v>44636</v>
      </c>
      <c r="E291" s="143" t="s">
        <v>19</v>
      </c>
      <c r="F291" s="143" t="s">
        <v>96</v>
      </c>
      <c r="G291" s="147">
        <f>74+87</f>
        <v>161</v>
      </c>
      <c r="H291" s="146"/>
      <c r="I291" s="142"/>
      <c r="J291" s="142"/>
    </row>
    <row r="292" spans="2:10" x14ac:dyDescent="0.2">
      <c r="B292" s="137">
        <f t="shared" si="4"/>
        <v>12</v>
      </c>
      <c r="C292" s="138" t="str">
        <f>TEXT(Таблица8[[#This Row],[Дата]],"М")</f>
        <v>3</v>
      </c>
      <c r="D292" s="139">
        <v>44637</v>
      </c>
      <c r="E292" s="137" t="s">
        <v>20</v>
      </c>
      <c r="F292" s="137" t="s">
        <v>99</v>
      </c>
      <c r="G292" s="140">
        <v>153</v>
      </c>
      <c r="H292" s="141"/>
      <c r="I292" s="142"/>
      <c r="J292" s="142"/>
    </row>
    <row r="293" spans="2:10" x14ac:dyDescent="0.2">
      <c r="B293" s="143">
        <f t="shared" si="4"/>
        <v>12</v>
      </c>
      <c r="C293" s="138" t="str">
        <f>TEXT(Таблица8[[#This Row],[Дата]],"М")</f>
        <v>3</v>
      </c>
      <c r="D293" s="144">
        <v>44637</v>
      </c>
      <c r="E293" s="143" t="s">
        <v>27</v>
      </c>
      <c r="F293" s="143"/>
      <c r="G293" s="147">
        <v>200</v>
      </c>
      <c r="H293" s="146"/>
      <c r="I293" s="142"/>
      <c r="J293" s="142"/>
    </row>
    <row r="294" spans="2:10" x14ac:dyDescent="0.2">
      <c r="B294" s="143">
        <f t="shared" si="4"/>
        <v>12</v>
      </c>
      <c r="C294" s="138" t="str">
        <f>TEXT(Таблица8[[#This Row],[Дата]],"М")</f>
        <v>3</v>
      </c>
      <c r="D294" s="144">
        <v>44637</v>
      </c>
      <c r="E294" s="143" t="s">
        <v>19</v>
      </c>
      <c r="F294" s="143" t="s">
        <v>96</v>
      </c>
      <c r="G294" s="147">
        <f>87</f>
        <v>87</v>
      </c>
      <c r="H294" s="146"/>
      <c r="I294" s="142"/>
      <c r="J294" s="142"/>
    </row>
    <row r="295" spans="2:10" x14ac:dyDescent="0.2">
      <c r="B295" s="137">
        <f t="shared" si="4"/>
        <v>12</v>
      </c>
      <c r="C295" s="138" t="str">
        <f>TEXT(Таблица8[[#This Row],[Дата]],"М")</f>
        <v>3</v>
      </c>
      <c r="D295" s="139">
        <v>44638</v>
      </c>
      <c r="E295" s="137" t="s">
        <v>20</v>
      </c>
      <c r="F295" s="137" t="s">
        <v>99</v>
      </c>
      <c r="G295" s="140">
        <v>86</v>
      </c>
      <c r="H295" s="141"/>
      <c r="I295" s="142"/>
      <c r="J295" s="142"/>
    </row>
    <row r="296" spans="2:10" x14ac:dyDescent="0.2">
      <c r="B296" s="143">
        <f t="shared" si="4"/>
        <v>12</v>
      </c>
      <c r="C296" s="138" t="str">
        <f>TEXT(Таблица8[[#This Row],[Дата]],"М")</f>
        <v>3</v>
      </c>
      <c r="D296" s="144">
        <v>44638</v>
      </c>
      <c r="E296" s="143" t="s">
        <v>71</v>
      </c>
      <c r="F296" s="143" t="s">
        <v>94</v>
      </c>
      <c r="G296" s="147">
        <v>32</v>
      </c>
      <c r="H296" s="146"/>
      <c r="I296" s="142"/>
      <c r="J296" s="142"/>
    </row>
    <row r="297" spans="2:10" x14ac:dyDescent="0.2">
      <c r="B297" s="143">
        <f t="shared" si="4"/>
        <v>12</v>
      </c>
      <c r="C297" s="138" t="str">
        <f>TEXT(Таблица8[[#This Row],[Дата]],"М")</f>
        <v>3</v>
      </c>
      <c r="D297" s="144">
        <v>44638</v>
      </c>
      <c r="E297" s="143" t="s">
        <v>20</v>
      </c>
      <c r="F297" s="143" t="s">
        <v>95</v>
      </c>
      <c r="G297" s="147">
        <v>47</v>
      </c>
      <c r="H297" s="146"/>
      <c r="I297" s="142"/>
      <c r="J297" s="142"/>
    </row>
    <row r="298" spans="2:10" x14ac:dyDescent="0.2">
      <c r="B298" s="137">
        <f t="shared" si="4"/>
        <v>12</v>
      </c>
      <c r="C298" s="138" t="str">
        <f>TEXT(Таблица8[[#This Row],[Дата]],"М")</f>
        <v>3</v>
      </c>
      <c r="D298" s="139">
        <v>44639</v>
      </c>
      <c r="E298" s="137" t="s">
        <v>71</v>
      </c>
      <c r="F298" s="137" t="s">
        <v>94</v>
      </c>
      <c r="G298" s="140">
        <v>64</v>
      </c>
      <c r="H298" s="141"/>
      <c r="I298" s="142"/>
      <c r="J298" s="142"/>
    </row>
    <row r="299" spans="2:10" x14ac:dyDescent="0.2">
      <c r="B299" s="143">
        <f t="shared" si="4"/>
        <v>12</v>
      </c>
      <c r="C299" s="138" t="str">
        <f>TEXT(Таблица8[[#This Row],[Дата]],"М")</f>
        <v>3</v>
      </c>
      <c r="D299" s="144">
        <v>44639</v>
      </c>
      <c r="E299" s="143" t="s">
        <v>19</v>
      </c>
      <c r="F299" s="143" t="s">
        <v>96</v>
      </c>
      <c r="G299" s="147">
        <f>253+80</f>
        <v>333</v>
      </c>
      <c r="H299" s="146"/>
      <c r="I299" s="142"/>
      <c r="J299" s="142"/>
    </row>
    <row r="300" spans="2:10" x14ac:dyDescent="0.2">
      <c r="B300" s="137">
        <f t="shared" si="4"/>
        <v>13</v>
      </c>
      <c r="C300" s="138" t="str">
        <f>TEXT(Таблица8[[#This Row],[Дата]],"М")</f>
        <v>3</v>
      </c>
      <c r="D300" s="139">
        <v>44640</v>
      </c>
      <c r="E300" s="137" t="s">
        <v>71</v>
      </c>
      <c r="F300" s="137" t="s">
        <v>94</v>
      </c>
      <c r="G300" s="140">
        <v>32</v>
      </c>
      <c r="H300" s="141"/>
      <c r="I300" s="142"/>
      <c r="J300" s="142"/>
    </row>
    <row r="301" spans="2:10" x14ac:dyDescent="0.2">
      <c r="B301" s="143">
        <f t="shared" si="4"/>
        <v>13</v>
      </c>
      <c r="C301" s="138" t="str">
        <f>TEXT(Таблица8[[#This Row],[Дата]],"М")</f>
        <v>3</v>
      </c>
      <c r="D301" s="144">
        <v>44640</v>
      </c>
      <c r="E301" s="143" t="s">
        <v>20</v>
      </c>
      <c r="F301" s="143" t="s">
        <v>102</v>
      </c>
      <c r="G301" s="147">
        <v>100</v>
      </c>
      <c r="H301" s="146"/>
      <c r="I301" s="142"/>
      <c r="J301" s="142"/>
    </row>
    <row r="302" spans="2:10" x14ac:dyDescent="0.2">
      <c r="B302" s="137">
        <f t="shared" si="4"/>
        <v>13</v>
      </c>
      <c r="C302" s="138" t="str">
        <f>TEXT(Таблица8[[#This Row],[Дата]],"М")</f>
        <v>3</v>
      </c>
      <c r="D302" s="139">
        <v>44641</v>
      </c>
      <c r="E302" s="137" t="s">
        <v>72</v>
      </c>
      <c r="F302" s="137" t="s">
        <v>40</v>
      </c>
      <c r="G302" s="140">
        <v>450</v>
      </c>
      <c r="H302" s="141"/>
      <c r="I302" s="142"/>
      <c r="J302" s="142"/>
    </row>
    <row r="303" spans="2:10" x14ac:dyDescent="0.2">
      <c r="B303" s="143">
        <f t="shared" si="4"/>
        <v>13</v>
      </c>
      <c r="C303" s="138" t="str">
        <f>TEXT(Таблица8[[#This Row],[Дата]],"М")</f>
        <v>3</v>
      </c>
      <c r="D303" s="144">
        <v>44641</v>
      </c>
      <c r="E303" s="143" t="s">
        <v>20</v>
      </c>
      <c r="F303" s="143" t="s">
        <v>99</v>
      </c>
      <c r="G303" s="147">
        <v>219</v>
      </c>
      <c r="H303" s="146"/>
      <c r="I303" s="142"/>
      <c r="J303" s="142"/>
    </row>
    <row r="304" spans="2:10" x14ac:dyDescent="0.2">
      <c r="B304" s="143">
        <f t="shared" si="4"/>
        <v>13</v>
      </c>
      <c r="C304" s="138" t="str">
        <f>TEXT(Таблица8[[#This Row],[Дата]],"М")</f>
        <v>3</v>
      </c>
      <c r="D304" s="144">
        <v>44641</v>
      </c>
      <c r="E304" s="143" t="s">
        <v>20</v>
      </c>
      <c r="F304" s="143" t="s">
        <v>95</v>
      </c>
      <c r="G304" s="147">
        <f>70+21</f>
        <v>91</v>
      </c>
      <c r="H304" s="146"/>
      <c r="I304" s="142"/>
      <c r="J304" s="142"/>
    </row>
    <row r="305" spans="2:11" x14ac:dyDescent="0.2">
      <c r="B305" s="143">
        <f t="shared" si="4"/>
        <v>13</v>
      </c>
      <c r="C305" s="138" t="str">
        <f>TEXT(Таблица8[[#This Row],[Дата]],"М")</f>
        <v>3</v>
      </c>
      <c r="D305" s="144">
        <v>44641</v>
      </c>
      <c r="E305" s="143" t="s">
        <v>71</v>
      </c>
      <c r="F305" s="143" t="s">
        <v>115</v>
      </c>
      <c r="G305" s="147">
        <f>276*2</f>
        <v>552</v>
      </c>
      <c r="H305" s="146"/>
      <c r="I305" s="142"/>
      <c r="J305" s="142"/>
      <c r="K305" s="165"/>
    </row>
    <row r="306" spans="2:11" x14ac:dyDescent="0.2">
      <c r="B306" s="143">
        <f t="shared" si="4"/>
        <v>13</v>
      </c>
      <c r="C306" s="138" t="str">
        <f>TEXT(Таблица8[[#This Row],[Дата]],"М")</f>
        <v>3</v>
      </c>
      <c r="D306" s="144">
        <v>44641</v>
      </c>
      <c r="E306" s="143" t="s">
        <v>19</v>
      </c>
      <c r="F306" s="143" t="s">
        <v>116</v>
      </c>
      <c r="G306" s="147">
        <v>52</v>
      </c>
      <c r="H306" s="146"/>
      <c r="I306" s="142"/>
      <c r="J306" s="142"/>
      <c r="K306" s="164"/>
    </row>
    <row r="307" spans="2:11" x14ac:dyDescent="0.2">
      <c r="B307" s="137">
        <f t="shared" si="4"/>
        <v>13</v>
      </c>
      <c r="C307" s="138" t="str">
        <f>TEXT(Таблица8[[#This Row],[Дата]],"М")</f>
        <v>3</v>
      </c>
      <c r="D307" s="139">
        <v>44642</v>
      </c>
      <c r="E307" s="137" t="s">
        <v>20</v>
      </c>
      <c r="F307" s="137" t="s">
        <v>99</v>
      </c>
      <c r="G307" s="140">
        <v>184</v>
      </c>
      <c r="H307" s="141"/>
      <c r="I307" s="142"/>
      <c r="J307" s="142"/>
    </row>
    <row r="308" spans="2:11" x14ac:dyDescent="0.2">
      <c r="B308" s="143">
        <f t="shared" si="4"/>
        <v>13</v>
      </c>
      <c r="C308" s="138" t="str">
        <f>TEXT(Таблица8[[#This Row],[Дата]],"М")</f>
        <v>3</v>
      </c>
      <c r="D308" s="144">
        <v>44642</v>
      </c>
      <c r="E308" s="143" t="s">
        <v>29</v>
      </c>
      <c r="F308" s="143" t="s">
        <v>107</v>
      </c>
      <c r="G308" s="147">
        <v>110</v>
      </c>
      <c r="H308" s="146"/>
      <c r="I308" s="142"/>
      <c r="J308" s="142"/>
    </row>
    <row r="309" spans="2:11" x14ac:dyDescent="0.2">
      <c r="B309" s="143">
        <f t="shared" si="4"/>
        <v>13</v>
      </c>
      <c r="C309" s="138" t="str">
        <f>TEXT(Таблица8[[#This Row],[Дата]],"М")</f>
        <v>3</v>
      </c>
      <c r="D309" s="144">
        <v>44642</v>
      </c>
      <c r="E309" s="143" t="s">
        <v>19</v>
      </c>
      <c r="F309" s="143" t="s">
        <v>96</v>
      </c>
      <c r="G309" s="147">
        <v>101</v>
      </c>
      <c r="H309" s="146"/>
      <c r="I309" s="142"/>
      <c r="J309" s="142"/>
    </row>
    <row r="310" spans="2:11" x14ac:dyDescent="0.2">
      <c r="B310" s="137">
        <f t="shared" si="4"/>
        <v>13</v>
      </c>
      <c r="C310" s="138" t="str">
        <f>TEXT(Таблица8[[#This Row],[Дата]],"М")</f>
        <v>3</v>
      </c>
      <c r="D310" s="139">
        <v>44643</v>
      </c>
      <c r="E310" s="137" t="s">
        <v>20</v>
      </c>
      <c r="F310" s="137" t="s">
        <v>99</v>
      </c>
      <c r="G310" s="140">
        <v>92</v>
      </c>
      <c r="H310" s="141"/>
      <c r="I310" s="142"/>
      <c r="J310" s="142"/>
    </row>
    <row r="311" spans="2:11" x14ac:dyDescent="0.2">
      <c r="B311" s="143">
        <f t="shared" si="4"/>
        <v>13</v>
      </c>
      <c r="C311" s="138" t="str">
        <f>TEXT(Таблица8[[#This Row],[Дата]],"М")</f>
        <v>3</v>
      </c>
      <c r="D311" s="144">
        <v>44643</v>
      </c>
      <c r="E311" s="143" t="s">
        <v>20</v>
      </c>
      <c r="F311" s="143" t="s">
        <v>118</v>
      </c>
      <c r="G311" s="147">
        <v>100</v>
      </c>
      <c r="H311" s="146"/>
      <c r="I311" s="142"/>
      <c r="J311" s="142"/>
    </row>
    <row r="312" spans="2:11" x14ac:dyDescent="0.2">
      <c r="B312" s="143">
        <f t="shared" si="4"/>
        <v>13</v>
      </c>
      <c r="C312" s="138" t="str">
        <f>TEXT(Таблица8[[#This Row],[Дата]],"М")</f>
        <v>3</v>
      </c>
      <c r="D312" s="144">
        <v>44643</v>
      </c>
      <c r="E312" s="143" t="s">
        <v>71</v>
      </c>
      <c r="F312" s="143" t="s">
        <v>94</v>
      </c>
      <c r="G312" s="147">
        <f>3*32</f>
        <v>96</v>
      </c>
      <c r="H312" s="146"/>
      <c r="I312" s="142"/>
      <c r="J312" s="142"/>
    </row>
    <row r="313" spans="2:11" x14ac:dyDescent="0.2">
      <c r="B313" s="143">
        <f t="shared" si="4"/>
        <v>13</v>
      </c>
      <c r="C313" s="138" t="str">
        <f>TEXT(Таблица8[[#This Row],[Дата]],"М")</f>
        <v>3</v>
      </c>
      <c r="D313" s="144">
        <v>44643</v>
      </c>
      <c r="E313" s="143" t="s">
        <v>26</v>
      </c>
      <c r="F313" s="143" t="s">
        <v>117</v>
      </c>
      <c r="G313" s="147">
        <v>250</v>
      </c>
      <c r="H313" s="146"/>
      <c r="I313" s="142"/>
      <c r="J313" s="142"/>
    </row>
    <row r="314" spans="2:11" x14ac:dyDescent="0.2">
      <c r="B314" s="137">
        <f t="shared" si="4"/>
        <v>13</v>
      </c>
      <c r="C314" s="138" t="str">
        <f>TEXT(Таблица8[[#This Row],[Дата]],"М")</f>
        <v>3</v>
      </c>
      <c r="D314" s="139">
        <v>44644</v>
      </c>
      <c r="E314" s="137" t="s">
        <v>20</v>
      </c>
      <c r="F314" s="137" t="s">
        <v>99</v>
      </c>
      <c r="G314" s="140">
        <v>179</v>
      </c>
      <c r="H314" s="141"/>
      <c r="I314" s="142"/>
      <c r="J314" s="142"/>
    </row>
    <row r="315" spans="2:11" x14ac:dyDescent="0.2">
      <c r="B315" s="143">
        <f t="shared" si="4"/>
        <v>13</v>
      </c>
      <c r="C315" s="138" t="str">
        <f>TEXT(Таблица8[[#This Row],[Дата]],"М")</f>
        <v>3</v>
      </c>
      <c r="D315" s="144">
        <v>44644</v>
      </c>
      <c r="E315" s="143" t="s">
        <v>23</v>
      </c>
      <c r="F315" s="143" t="s">
        <v>111</v>
      </c>
      <c r="G315" s="147">
        <v>4</v>
      </c>
      <c r="H315" s="146"/>
      <c r="I315" s="142"/>
      <c r="J315" s="142"/>
    </row>
    <row r="316" spans="2:11" x14ac:dyDescent="0.2">
      <c r="B316" s="137">
        <f t="shared" si="4"/>
        <v>13</v>
      </c>
      <c r="C316" s="138" t="str">
        <f>TEXT(Таблица8[[#This Row],[Дата]],"М")</f>
        <v>3</v>
      </c>
      <c r="D316" s="139">
        <v>44645</v>
      </c>
      <c r="E316" s="137" t="s">
        <v>19</v>
      </c>
      <c r="F316" s="137" t="s">
        <v>96</v>
      </c>
      <c r="G316" s="140">
        <f>184+242</f>
        <v>426</v>
      </c>
      <c r="H316" s="141"/>
      <c r="I316" s="142"/>
      <c r="J316" s="142"/>
    </row>
    <row r="317" spans="2:11" x14ac:dyDescent="0.2">
      <c r="B317" s="143">
        <f t="shared" si="4"/>
        <v>13</v>
      </c>
      <c r="C317" s="138" t="str">
        <f>TEXT(Таблица8[[#This Row],[Дата]],"М")</f>
        <v>3</v>
      </c>
      <c r="D317" s="144">
        <v>44645</v>
      </c>
      <c r="E317" s="143" t="s">
        <v>72</v>
      </c>
      <c r="F317" s="143" t="s">
        <v>45</v>
      </c>
      <c r="G317" s="147">
        <v>270</v>
      </c>
      <c r="H317" s="146"/>
      <c r="I317" s="142"/>
      <c r="J317" s="142"/>
    </row>
    <row r="318" spans="2:11" x14ac:dyDescent="0.2">
      <c r="B318" s="137">
        <f t="shared" si="4"/>
        <v>13</v>
      </c>
      <c r="C318" s="138" t="str">
        <f>TEXT(Таблица8[[#This Row],[Дата]],"М")</f>
        <v>3</v>
      </c>
      <c r="D318" s="139">
        <v>44646</v>
      </c>
      <c r="E318" s="137" t="s">
        <v>19</v>
      </c>
      <c r="F318" s="137" t="s">
        <v>96</v>
      </c>
      <c r="G318" s="140">
        <v>85</v>
      </c>
      <c r="H318" s="141"/>
      <c r="I318" s="142"/>
      <c r="J318" s="142"/>
    </row>
    <row r="319" spans="2:11" x14ac:dyDescent="0.2">
      <c r="B319" s="137">
        <f t="shared" ref="B319:B382" si="5">WEEKNUM(D319)</f>
        <v>14</v>
      </c>
      <c r="C319" s="138" t="str">
        <f>TEXT(Таблица8[[#This Row],[Дата]],"М")</f>
        <v>3</v>
      </c>
      <c r="D319" s="139">
        <v>44647</v>
      </c>
      <c r="E319" s="137" t="s">
        <v>20</v>
      </c>
      <c r="F319" s="137" t="s">
        <v>118</v>
      </c>
      <c r="G319" s="140">
        <v>45</v>
      </c>
      <c r="H319" s="141"/>
      <c r="I319" s="142"/>
      <c r="J319" s="142"/>
    </row>
    <row r="320" spans="2:11" x14ac:dyDescent="0.2">
      <c r="B320" s="143">
        <f t="shared" si="5"/>
        <v>14</v>
      </c>
      <c r="C320" s="138" t="str">
        <f>TEXT(Таблица8[[#This Row],[Дата]],"М")</f>
        <v>3</v>
      </c>
      <c r="D320" s="144">
        <v>44647</v>
      </c>
      <c r="E320" s="143" t="s">
        <v>19</v>
      </c>
      <c r="F320" s="143" t="s">
        <v>96</v>
      </c>
      <c r="G320" s="147">
        <f>57+20+291</f>
        <v>368</v>
      </c>
      <c r="H320" s="146"/>
      <c r="I320" s="142"/>
      <c r="J320" s="142"/>
    </row>
    <row r="321" spans="2:10" x14ac:dyDescent="0.2">
      <c r="B321" s="137">
        <f t="shared" si="5"/>
        <v>14</v>
      </c>
      <c r="C321" s="138" t="str">
        <f>TEXT(Таблица8[[#This Row],[Дата]],"М")</f>
        <v>3</v>
      </c>
      <c r="D321" s="139">
        <v>44648</v>
      </c>
      <c r="E321" s="137" t="s">
        <v>72</v>
      </c>
      <c r="F321" s="137" t="s">
        <v>41</v>
      </c>
      <c r="G321" s="140">
        <v>450</v>
      </c>
      <c r="H321" s="141"/>
      <c r="I321" s="142"/>
      <c r="J321" s="142"/>
    </row>
    <row r="322" spans="2:10" x14ac:dyDescent="0.2">
      <c r="B322" s="143">
        <f t="shared" si="5"/>
        <v>14</v>
      </c>
      <c r="C322" s="138" t="str">
        <f>TEXT(Таблица8[[#This Row],[Дата]],"М")</f>
        <v>3</v>
      </c>
      <c r="D322" s="144">
        <v>44648</v>
      </c>
      <c r="E322" s="143" t="s">
        <v>71</v>
      </c>
      <c r="F322" s="143" t="s">
        <v>94</v>
      </c>
      <c r="G322" s="147">
        <v>64</v>
      </c>
      <c r="H322" s="146"/>
      <c r="I322" s="142"/>
      <c r="J322" s="142"/>
    </row>
    <row r="323" spans="2:10" x14ac:dyDescent="0.2">
      <c r="B323" s="143">
        <f t="shared" si="5"/>
        <v>14</v>
      </c>
      <c r="C323" s="138" t="str">
        <f>TEXT(Таблица8[[#This Row],[Дата]],"М")</f>
        <v>3</v>
      </c>
      <c r="D323" s="144">
        <v>44648</v>
      </c>
      <c r="E323" s="143" t="s">
        <v>20</v>
      </c>
      <c r="F323" s="143" t="s">
        <v>99</v>
      </c>
      <c r="G323" s="147">
        <f>114+76</f>
        <v>190</v>
      </c>
      <c r="H323" s="146"/>
      <c r="I323" s="142"/>
      <c r="J323" s="142"/>
    </row>
    <row r="324" spans="2:10" x14ac:dyDescent="0.2">
      <c r="B324" s="143">
        <f t="shared" si="5"/>
        <v>14</v>
      </c>
      <c r="C324" s="138" t="str">
        <f>TEXT(Таблица8[[#This Row],[Дата]],"М")</f>
        <v>3</v>
      </c>
      <c r="D324" s="144">
        <v>44648</v>
      </c>
      <c r="E324" s="143" t="s">
        <v>19</v>
      </c>
      <c r="F324" s="143" t="s">
        <v>96</v>
      </c>
      <c r="G324" s="147">
        <v>45</v>
      </c>
      <c r="H324" s="146"/>
      <c r="I324" s="142"/>
      <c r="J324" s="142"/>
    </row>
    <row r="325" spans="2:10" x14ac:dyDescent="0.2">
      <c r="B325" s="137">
        <f t="shared" si="5"/>
        <v>14</v>
      </c>
      <c r="C325" s="138" t="str">
        <f>TEXT(Таблица8[[#This Row],[Дата]],"М")</f>
        <v>3</v>
      </c>
      <c r="D325" s="139">
        <v>44649</v>
      </c>
      <c r="E325" s="137" t="s">
        <v>20</v>
      </c>
      <c r="F325" s="137" t="s">
        <v>99</v>
      </c>
      <c r="G325" s="140">
        <v>99</v>
      </c>
      <c r="H325" s="141"/>
      <c r="I325" s="142"/>
      <c r="J325" s="142"/>
    </row>
    <row r="326" spans="2:10" x14ac:dyDescent="0.2">
      <c r="B326" s="143">
        <f t="shared" si="5"/>
        <v>14</v>
      </c>
      <c r="C326" s="138" t="str">
        <f>TEXT(Таблица8[[#This Row],[Дата]],"М")</f>
        <v>3</v>
      </c>
      <c r="D326" s="144">
        <v>44649</v>
      </c>
      <c r="E326" s="143" t="s">
        <v>19</v>
      </c>
      <c r="F326" s="143" t="s">
        <v>96</v>
      </c>
      <c r="G326" s="147">
        <f>46+66</f>
        <v>112</v>
      </c>
      <c r="H326" s="146"/>
      <c r="I326" s="142"/>
      <c r="J326" s="142"/>
    </row>
    <row r="327" spans="2:10" x14ac:dyDescent="0.2">
      <c r="B327" s="143">
        <f t="shared" si="5"/>
        <v>14</v>
      </c>
      <c r="C327" s="138" t="str">
        <f>TEXT(Таблица8[[#This Row],[Дата]],"М")</f>
        <v>3</v>
      </c>
      <c r="D327" s="144">
        <v>44649</v>
      </c>
      <c r="E327" s="143" t="s">
        <v>23</v>
      </c>
      <c r="F327" s="143" t="s">
        <v>103</v>
      </c>
      <c r="G327" s="147">
        <v>800</v>
      </c>
      <c r="H327" s="146"/>
      <c r="I327" s="142"/>
      <c r="J327" s="142"/>
    </row>
    <row r="328" spans="2:10" x14ac:dyDescent="0.2">
      <c r="B328" s="137">
        <f t="shared" si="5"/>
        <v>14</v>
      </c>
      <c r="C328" s="138" t="str">
        <f>TEXT(Таблица8[[#This Row],[Дата]],"М")</f>
        <v>3</v>
      </c>
      <c r="D328" s="139">
        <v>44650</v>
      </c>
      <c r="E328" s="137" t="s">
        <v>72</v>
      </c>
      <c r="F328" s="137" t="s">
        <v>41</v>
      </c>
      <c r="G328" s="140">
        <v>750</v>
      </c>
      <c r="H328" s="141"/>
      <c r="I328" s="142"/>
      <c r="J328" s="142"/>
    </row>
    <row r="329" spans="2:10" x14ac:dyDescent="0.2">
      <c r="B329" s="143">
        <f t="shared" si="5"/>
        <v>14</v>
      </c>
      <c r="C329" s="138" t="str">
        <f>TEXT(Таблица8[[#This Row],[Дата]],"М")</f>
        <v>3</v>
      </c>
      <c r="D329" s="144">
        <v>44650</v>
      </c>
      <c r="E329" s="143" t="s">
        <v>72</v>
      </c>
      <c r="F329" s="143" t="s">
        <v>121</v>
      </c>
      <c r="G329" s="147">
        <v>72</v>
      </c>
      <c r="H329" s="146"/>
      <c r="I329" s="142"/>
      <c r="J329" s="142"/>
    </row>
    <row r="330" spans="2:10" x14ac:dyDescent="0.2">
      <c r="B330" s="143">
        <f t="shared" si="5"/>
        <v>14</v>
      </c>
      <c r="C330" s="138" t="str">
        <f>TEXT(Таблица8[[#This Row],[Дата]],"М")</f>
        <v>3</v>
      </c>
      <c r="D330" s="144">
        <v>44650</v>
      </c>
      <c r="E330" s="143" t="s">
        <v>72</v>
      </c>
      <c r="F330" s="143" t="s">
        <v>45</v>
      </c>
      <c r="G330" s="147">
        <v>200</v>
      </c>
      <c r="H330" s="146"/>
      <c r="I330" s="142"/>
      <c r="J330" s="142"/>
    </row>
    <row r="331" spans="2:10" x14ac:dyDescent="0.2">
      <c r="B331" s="143">
        <f t="shared" si="5"/>
        <v>14</v>
      </c>
      <c r="C331" s="138" t="str">
        <f>TEXT(Таблица8[[#This Row],[Дата]],"М")</f>
        <v>3</v>
      </c>
      <c r="D331" s="144">
        <v>44650</v>
      </c>
      <c r="E331" s="143" t="s">
        <v>72</v>
      </c>
      <c r="F331" s="143" t="s">
        <v>44</v>
      </c>
      <c r="G331" s="147">
        <v>250</v>
      </c>
      <c r="H331" s="146"/>
      <c r="I331" s="142"/>
      <c r="J331" s="142"/>
    </row>
    <row r="332" spans="2:10" x14ac:dyDescent="0.2">
      <c r="B332" s="143">
        <f t="shared" si="5"/>
        <v>14</v>
      </c>
      <c r="C332" s="138" t="str">
        <f>TEXT(Таблица8[[#This Row],[Дата]],"М")</f>
        <v>3</v>
      </c>
      <c r="D332" s="144">
        <v>44650</v>
      </c>
      <c r="E332" s="143" t="s">
        <v>20</v>
      </c>
      <c r="F332" s="143" t="s">
        <v>99</v>
      </c>
      <c r="G332" s="147">
        <v>103</v>
      </c>
      <c r="H332" s="146"/>
      <c r="I332" s="142"/>
      <c r="J332" s="142"/>
    </row>
    <row r="333" spans="2:10" x14ac:dyDescent="0.2">
      <c r="B333" s="143">
        <f t="shared" si="5"/>
        <v>14</v>
      </c>
      <c r="C333" s="138" t="str">
        <f>TEXT(Таблица8[[#This Row],[Дата]],"М")</f>
        <v>3</v>
      </c>
      <c r="D333" s="144">
        <v>44650</v>
      </c>
      <c r="E333" s="143" t="s">
        <v>29</v>
      </c>
      <c r="F333" s="143" t="s">
        <v>105</v>
      </c>
      <c r="G333" s="147">
        <v>200</v>
      </c>
      <c r="H333" s="146"/>
      <c r="I333" s="142"/>
      <c r="J333" s="142"/>
    </row>
    <row r="334" spans="2:10" x14ac:dyDescent="0.2">
      <c r="B334" s="143">
        <f t="shared" si="5"/>
        <v>14</v>
      </c>
      <c r="C334" s="138" t="str">
        <f>TEXT(Таблица8[[#This Row],[Дата]],"М")</f>
        <v>3</v>
      </c>
      <c r="D334" s="144">
        <v>44650</v>
      </c>
      <c r="E334" s="143" t="s">
        <v>20</v>
      </c>
      <c r="F334" s="143" t="s">
        <v>102</v>
      </c>
      <c r="G334" s="147">
        <v>190</v>
      </c>
      <c r="H334" s="146"/>
      <c r="I334" s="142"/>
      <c r="J334" s="142"/>
    </row>
    <row r="335" spans="2:10" x14ac:dyDescent="0.2">
      <c r="B335" s="143">
        <f t="shared" si="5"/>
        <v>14</v>
      </c>
      <c r="C335" s="138" t="str">
        <f>TEXT(Таблица8[[#This Row],[Дата]],"М")</f>
        <v>3</v>
      </c>
      <c r="D335" s="144">
        <v>44650</v>
      </c>
      <c r="E335" s="143" t="s">
        <v>22</v>
      </c>
      <c r="F335" s="143" t="s">
        <v>38</v>
      </c>
      <c r="G335" s="147">
        <v>308</v>
      </c>
      <c r="H335" s="146"/>
      <c r="I335" s="142"/>
      <c r="J335" s="142"/>
    </row>
    <row r="336" spans="2:10" x14ac:dyDescent="0.2">
      <c r="B336" s="137">
        <f t="shared" si="5"/>
        <v>14</v>
      </c>
      <c r="C336" s="138" t="str">
        <f>TEXT(Таблица8[[#This Row],[Дата]],"М")</f>
        <v>3</v>
      </c>
      <c r="D336" s="139">
        <v>44651</v>
      </c>
      <c r="E336" s="137" t="s">
        <v>20</v>
      </c>
      <c r="F336" s="137" t="s">
        <v>99</v>
      </c>
      <c r="G336" s="140">
        <v>115</v>
      </c>
      <c r="H336" s="141"/>
      <c r="I336" s="142"/>
      <c r="J336" s="142"/>
    </row>
    <row r="337" spans="2:10" x14ac:dyDescent="0.2">
      <c r="B337" s="143">
        <f t="shared" si="5"/>
        <v>14</v>
      </c>
      <c r="C337" s="138" t="str">
        <f>TEXT(Таблица8[[#This Row],[Дата]],"М")</f>
        <v>3</v>
      </c>
      <c r="D337" s="144">
        <v>44651</v>
      </c>
      <c r="E337" s="143" t="s">
        <v>19</v>
      </c>
      <c r="F337" s="143" t="s">
        <v>116</v>
      </c>
      <c r="G337" s="147">
        <f>460+32</f>
        <v>492</v>
      </c>
      <c r="H337" s="146"/>
      <c r="I337" s="142"/>
      <c r="J337" s="142"/>
    </row>
    <row r="338" spans="2:10" x14ac:dyDescent="0.2">
      <c r="B338" s="143">
        <f t="shared" si="5"/>
        <v>14</v>
      </c>
      <c r="C338" s="138" t="str">
        <f>TEXT(Таблица8[[#This Row],[Дата]],"М")</f>
        <v>3</v>
      </c>
      <c r="D338" s="144">
        <v>44651</v>
      </c>
      <c r="E338" s="143" t="s">
        <v>71</v>
      </c>
      <c r="F338" s="143" t="s">
        <v>94</v>
      </c>
      <c r="G338" s="147">
        <v>32</v>
      </c>
      <c r="H338" s="146"/>
      <c r="I338" s="142"/>
      <c r="J338" s="142"/>
    </row>
    <row r="339" spans="2:10" ht="18.75" customHeight="1" x14ac:dyDescent="0.2">
      <c r="B339" s="137">
        <f t="shared" si="5"/>
        <v>14</v>
      </c>
      <c r="C339" s="138" t="str">
        <f>TEXT(Таблица8[[#This Row],[Дата]],"М")</f>
        <v>4</v>
      </c>
      <c r="D339" s="139">
        <v>44652</v>
      </c>
      <c r="E339" s="137" t="s">
        <v>72</v>
      </c>
      <c r="F339" s="137" t="s">
        <v>43</v>
      </c>
      <c r="G339" s="140">
        <v>2</v>
      </c>
      <c r="H339" s="141"/>
      <c r="I339" s="142"/>
      <c r="J339" s="142"/>
    </row>
    <row r="340" spans="2:10" x14ac:dyDescent="0.2">
      <c r="B340" s="143">
        <f t="shared" si="5"/>
        <v>14</v>
      </c>
      <c r="C340" s="138" t="str">
        <f>TEXT(Таблица8[[#This Row],[Дата]],"М")</f>
        <v>4</v>
      </c>
      <c r="D340" s="144">
        <v>44652</v>
      </c>
      <c r="E340" s="143" t="s">
        <v>71</v>
      </c>
      <c r="F340" s="143" t="s">
        <v>94</v>
      </c>
      <c r="G340" s="147">
        <v>32</v>
      </c>
      <c r="H340" s="146"/>
      <c r="I340" s="142"/>
      <c r="J340" s="142"/>
    </row>
    <row r="341" spans="2:10" x14ac:dyDescent="0.2">
      <c r="B341" s="143">
        <f t="shared" si="5"/>
        <v>14</v>
      </c>
      <c r="C341" s="138" t="str">
        <f>TEXT(Таблица8[[#This Row],[Дата]],"М")</f>
        <v>4</v>
      </c>
      <c r="D341" s="144">
        <v>44652</v>
      </c>
      <c r="E341" s="143" t="s">
        <v>20</v>
      </c>
      <c r="F341" s="143" t="s">
        <v>99</v>
      </c>
      <c r="G341" s="147">
        <v>179</v>
      </c>
      <c r="H341" s="146"/>
      <c r="I341" s="142"/>
      <c r="J341" s="142"/>
    </row>
    <row r="342" spans="2:10" x14ac:dyDescent="0.2">
      <c r="B342" s="143">
        <f t="shared" si="5"/>
        <v>14</v>
      </c>
      <c r="C342" s="138" t="str">
        <f>TEXT(Таблица8[[#This Row],[Дата]],"М")</f>
        <v>4</v>
      </c>
      <c r="D342" s="144">
        <v>44652</v>
      </c>
      <c r="E342" s="143" t="s">
        <v>19</v>
      </c>
      <c r="F342" s="143" t="s">
        <v>96</v>
      </c>
      <c r="G342" s="147">
        <v>186</v>
      </c>
      <c r="H342" s="146"/>
      <c r="I342" s="142"/>
      <c r="J342" s="142"/>
    </row>
    <row r="343" spans="2:10" x14ac:dyDescent="0.2">
      <c r="B343" s="137">
        <f t="shared" si="5"/>
        <v>14</v>
      </c>
      <c r="C343" s="138" t="str">
        <f>TEXT(Таблица8[[#This Row],[Дата]],"М")</f>
        <v>4</v>
      </c>
      <c r="D343" s="139">
        <v>44653</v>
      </c>
      <c r="E343" s="137" t="s">
        <v>72</v>
      </c>
      <c r="F343" s="137" t="s">
        <v>43</v>
      </c>
      <c r="G343" s="140">
        <v>4</v>
      </c>
      <c r="H343" s="141"/>
      <c r="I343" s="142"/>
      <c r="J343" s="142"/>
    </row>
    <row r="344" spans="2:10" x14ac:dyDescent="0.2">
      <c r="B344" s="143">
        <f t="shared" si="5"/>
        <v>14</v>
      </c>
      <c r="C344" s="138" t="str">
        <f>TEXT(Таблица8[[#This Row],[Дата]],"М")</f>
        <v>4</v>
      </c>
      <c r="D344" s="144">
        <v>44653</v>
      </c>
      <c r="E344" s="143" t="s">
        <v>71</v>
      </c>
      <c r="F344" s="143" t="s">
        <v>94</v>
      </c>
      <c r="G344" s="147">
        <f>32*3</f>
        <v>96</v>
      </c>
      <c r="H344" s="146"/>
      <c r="I344" s="142"/>
      <c r="J344" s="142"/>
    </row>
    <row r="345" spans="2:10" x14ac:dyDescent="0.2">
      <c r="B345" s="143">
        <f t="shared" si="5"/>
        <v>14</v>
      </c>
      <c r="C345" s="138" t="str">
        <f>TEXT(Таблица8[[#This Row],[Дата]],"М")</f>
        <v>4</v>
      </c>
      <c r="D345" s="144">
        <v>44653</v>
      </c>
      <c r="E345" s="143" t="s">
        <v>19</v>
      </c>
      <c r="F345" s="143" t="s">
        <v>96</v>
      </c>
      <c r="G345" s="147">
        <f>35+205</f>
        <v>240</v>
      </c>
      <c r="H345" s="146"/>
      <c r="I345" s="142"/>
      <c r="J345" s="142"/>
    </row>
    <row r="346" spans="2:10" x14ac:dyDescent="0.2">
      <c r="B346" s="143">
        <f t="shared" si="5"/>
        <v>14</v>
      </c>
      <c r="C346" s="138" t="str">
        <f>TEXT(Таблица8[[#This Row],[Дата]],"М")</f>
        <v>4</v>
      </c>
      <c r="D346" s="144">
        <v>44653</v>
      </c>
      <c r="E346" s="143" t="s">
        <v>23</v>
      </c>
      <c r="F346" s="143" t="s">
        <v>103</v>
      </c>
      <c r="G346" s="147">
        <v>1540</v>
      </c>
      <c r="H346" s="146"/>
      <c r="I346" s="142"/>
      <c r="J346" s="142"/>
    </row>
    <row r="347" spans="2:10" x14ac:dyDescent="0.2">
      <c r="B347" s="143">
        <f t="shared" si="5"/>
        <v>14</v>
      </c>
      <c r="C347" s="138" t="str">
        <f>TEXT(Таблица8[[#This Row],[Дата]],"М")</f>
        <v>4</v>
      </c>
      <c r="D347" s="144">
        <v>44653</v>
      </c>
      <c r="E347" s="143" t="s">
        <v>23</v>
      </c>
      <c r="F347" s="143" t="s">
        <v>111</v>
      </c>
      <c r="G347" s="147">
        <v>299</v>
      </c>
      <c r="H347" s="146"/>
      <c r="I347" s="142"/>
      <c r="J347" s="142"/>
    </row>
    <row r="348" spans="2:10" x14ac:dyDescent="0.2">
      <c r="B348" s="137">
        <f t="shared" si="5"/>
        <v>15</v>
      </c>
      <c r="C348" s="138" t="str">
        <f>TEXT(Таблица8[[#This Row],[Дата]],"М")</f>
        <v>4</v>
      </c>
      <c r="D348" s="139">
        <v>44654</v>
      </c>
      <c r="E348" s="137" t="s">
        <v>72</v>
      </c>
      <c r="F348" s="137" t="s">
        <v>43</v>
      </c>
      <c r="G348" s="140">
        <v>6</v>
      </c>
      <c r="H348" s="141"/>
      <c r="I348" s="142"/>
      <c r="J348" s="142"/>
    </row>
    <row r="349" spans="2:10" ht="15" customHeight="1" x14ac:dyDescent="0.2">
      <c r="B349" s="143">
        <f t="shared" si="5"/>
        <v>15</v>
      </c>
      <c r="C349" s="138" t="str">
        <f>TEXT(Таблица8[[#This Row],[Дата]],"М")</f>
        <v>4</v>
      </c>
      <c r="D349" s="144">
        <v>44654</v>
      </c>
      <c r="E349" s="143" t="s">
        <v>19</v>
      </c>
      <c r="F349" s="143" t="s">
        <v>116</v>
      </c>
      <c r="G349" s="147">
        <v>447</v>
      </c>
      <c r="H349" s="146"/>
      <c r="I349" s="142"/>
      <c r="J349" s="142"/>
    </row>
    <row r="350" spans="2:10" x14ac:dyDescent="0.2">
      <c r="B350" s="137">
        <f t="shared" si="5"/>
        <v>15</v>
      </c>
      <c r="C350" s="138" t="str">
        <f>TEXT(Таблица8[[#This Row],[Дата]],"М")</f>
        <v>4</v>
      </c>
      <c r="D350" s="139">
        <v>44655</v>
      </c>
      <c r="E350" s="137" t="s">
        <v>72</v>
      </c>
      <c r="F350" s="137" t="s">
        <v>43</v>
      </c>
      <c r="G350" s="140">
        <v>8</v>
      </c>
      <c r="H350" s="141"/>
      <c r="I350" s="142"/>
      <c r="J350" s="142"/>
    </row>
    <row r="351" spans="2:10" x14ac:dyDescent="0.2">
      <c r="B351" s="143">
        <f t="shared" si="5"/>
        <v>15</v>
      </c>
      <c r="C351" s="138" t="str">
        <f>TEXT(Таблица8[[#This Row],[Дата]],"М")</f>
        <v>4</v>
      </c>
      <c r="D351" s="144">
        <v>44655</v>
      </c>
      <c r="E351" s="143" t="s">
        <v>20</v>
      </c>
      <c r="F351" s="143" t="s">
        <v>99</v>
      </c>
      <c r="G351" s="147">
        <v>135</v>
      </c>
      <c r="H351" s="146"/>
      <c r="I351" s="142"/>
      <c r="J351" s="142"/>
    </row>
    <row r="352" spans="2:10" x14ac:dyDescent="0.2">
      <c r="B352" s="143">
        <f t="shared" si="5"/>
        <v>15</v>
      </c>
      <c r="C352" s="138" t="str">
        <f>TEXT(Таблица8[[#This Row],[Дата]],"М")</f>
        <v>4</v>
      </c>
      <c r="D352" s="144">
        <v>44655</v>
      </c>
      <c r="E352" s="143" t="s">
        <v>72</v>
      </c>
      <c r="F352" s="143" t="s">
        <v>40</v>
      </c>
      <c r="G352" s="147">
        <v>450</v>
      </c>
      <c r="H352" s="146"/>
      <c r="I352" s="142"/>
      <c r="J352" s="142"/>
    </row>
    <row r="353" spans="2:10" x14ac:dyDescent="0.2">
      <c r="B353" s="137">
        <f t="shared" si="5"/>
        <v>15</v>
      </c>
      <c r="C353" s="138" t="str">
        <f>TEXT(Таблица8[[#This Row],[Дата]],"М")</f>
        <v>4</v>
      </c>
      <c r="D353" s="139">
        <v>44656</v>
      </c>
      <c r="E353" s="137" t="s">
        <v>72</v>
      </c>
      <c r="F353" s="137" t="s">
        <v>43</v>
      </c>
      <c r="G353" s="140">
        <v>10</v>
      </c>
      <c r="H353" s="141"/>
      <c r="I353" s="142"/>
      <c r="J353" s="142"/>
    </row>
    <row r="354" spans="2:10" x14ac:dyDescent="0.2">
      <c r="B354" s="143">
        <f t="shared" si="5"/>
        <v>15</v>
      </c>
      <c r="C354" s="138" t="str">
        <f>TEXT(Таблица8[[#This Row],[Дата]],"М")</f>
        <v>4</v>
      </c>
      <c r="D354" s="144">
        <v>44656</v>
      </c>
      <c r="E354" s="143" t="s">
        <v>20</v>
      </c>
      <c r="F354" s="143" t="s">
        <v>99</v>
      </c>
      <c r="G354" s="147">
        <f>187+37</f>
        <v>224</v>
      </c>
      <c r="H354" s="146"/>
      <c r="I354" s="142"/>
      <c r="J354" s="142"/>
    </row>
    <row r="355" spans="2:10" x14ac:dyDescent="0.2">
      <c r="B355" s="143">
        <f t="shared" si="5"/>
        <v>15</v>
      </c>
      <c r="C355" s="138" t="str">
        <f>TEXT(Таблица8[[#This Row],[Дата]],"М")</f>
        <v>4</v>
      </c>
      <c r="D355" s="144">
        <v>44656</v>
      </c>
      <c r="E355" s="143" t="s">
        <v>71</v>
      </c>
      <c r="F355" s="143" t="s">
        <v>94</v>
      </c>
      <c r="G355" s="147">
        <v>32</v>
      </c>
      <c r="H355" s="146"/>
      <c r="I355" s="142"/>
      <c r="J355" s="142"/>
    </row>
    <row r="356" spans="2:10" x14ac:dyDescent="0.2">
      <c r="B356" s="137">
        <f t="shared" si="5"/>
        <v>15</v>
      </c>
      <c r="C356" s="138" t="str">
        <f>TEXT(Таблица8[[#This Row],[Дата]],"М")</f>
        <v>4</v>
      </c>
      <c r="D356" s="139">
        <v>44657</v>
      </c>
      <c r="E356" s="137" t="s">
        <v>72</v>
      </c>
      <c r="F356" s="137" t="s">
        <v>43</v>
      </c>
      <c r="G356" s="140">
        <v>12</v>
      </c>
      <c r="H356" s="141"/>
      <c r="I356" s="142"/>
      <c r="J356" s="142"/>
    </row>
    <row r="357" spans="2:10" x14ac:dyDescent="0.2">
      <c r="B357" s="143">
        <f t="shared" si="5"/>
        <v>15</v>
      </c>
      <c r="C357" s="138" t="str">
        <f>TEXT(Таблица8[[#This Row],[Дата]],"М")</f>
        <v>4</v>
      </c>
      <c r="D357" s="144">
        <v>44657</v>
      </c>
      <c r="E357" s="143" t="s">
        <v>20</v>
      </c>
      <c r="F357" s="143" t="s">
        <v>99</v>
      </c>
      <c r="G357" s="147">
        <v>110</v>
      </c>
      <c r="H357" s="146"/>
      <c r="I357" s="142"/>
      <c r="J357" s="142"/>
    </row>
    <row r="358" spans="2:10" x14ac:dyDescent="0.2">
      <c r="B358" s="143">
        <f t="shared" si="5"/>
        <v>15</v>
      </c>
      <c r="C358" s="138" t="str">
        <f>TEXT(Таблица8[[#This Row],[Дата]],"М")</f>
        <v>4</v>
      </c>
      <c r="D358" s="144">
        <v>44657</v>
      </c>
      <c r="E358" s="143" t="s">
        <v>19</v>
      </c>
      <c r="F358" s="143" t="s">
        <v>96</v>
      </c>
      <c r="G358" s="147">
        <f>84+261</f>
        <v>345</v>
      </c>
      <c r="H358" s="146"/>
      <c r="I358" s="142"/>
      <c r="J358" s="142"/>
    </row>
    <row r="359" spans="2:10" x14ac:dyDescent="0.2">
      <c r="B359" s="143">
        <f t="shared" si="5"/>
        <v>15</v>
      </c>
      <c r="C359" s="138" t="str">
        <f>TEXT(Таблица8[[#This Row],[Дата]],"М")</f>
        <v>4</v>
      </c>
      <c r="D359" s="144">
        <v>44657</v>
      </c>
      <c r="E359" s="143" t="s">
        <v>23</v>
      </c>
      <c r="F359" s="143" t="s">
        <v>111</v>
      </c>
      <c r="G359" s="147">
        <v>76</v>
      </c>
      <c r="H359" s="146"/>
      <c r="I359" s="142"/>
      <c r="J359" s="142"/>
    </row>
    <row r="360" spans="2:10" x14ac:dyDescent="0.2">
      <c r="B360" s="137">
        <f t="shared" si="5"/>
        <v>15</v>
      </c>
      <c r="C360" s="138" t="str">
        <f>TEXT(Таблица8[[#This Row],[Дата]],"М")</f>
        <v>4</v>
      </c>
      <c r="D360" s="139">
        <v>44658</v>
      </c>
      <c r="E360" s="137" t="s">
        <v>72</v>
      </c>
      <c r="F360" s="137" t="s">
        <v>43</v>
      </c>
      <c r="G360" s="140">
        <v>14</v>
      </c>
      <c r="H360" s="141"/>
      <c r="I360" s="142"/>
      <c r="J360" s="142"/>
    </row>
    <row r="361" spans="2:10" x14ac:dyDescent="0.2">
      <c r="B361" s="143">
        <f t="shared" si="5"/>
        <v>15</v>
      </c>
      <c r="C361" s="138" t="str">
        <f>TEXT(Таблица8[[#This Row],[Дата]],"М")</f>
        <v>4</v>
      </c>
      <c r="D361" s="144">
        <v>44658</v>
      </c>
      <c r="E361" s="143" t="s">
        <v>71</v>
      </c>
      <c r="F361" s="143" t="s">
        <v>94</v>
      </c>
      <c r="G361" s="147">
        <v>32</v>
      </c>
      <c r="H361" s="146"/>
      <c r="I361" s="142"/>
      <c r="J361" s="142"/>
    </row>
    <row r="362" spans="2:10" x14ac:dyDescent="0.2">
      <c r="B362" s="143">
        <f t="shared" si="5"/>
        <v>15</v>
      </c>
      <c r="C362" s="138" t="str">
        <f>TEXT(Таблица8[[#This Row],[Дата]],"М")</f>
        <v>4</v>
      </c>
      <c r="D362" s="144">
        <v>44658</v>
      </c>
      <c r="E362" s="143" t="s">
        <v>20</v>
      </c>
      <c r="F362" s="143" t="s">
        <v>99</v>
      </c>
      <c r="G362" s="147">
        <v>156</v>
      </c>
      <c r="H362" s="146"/>
      <c r="I362" s="142"/>
      <c r="J362" s="142"/>
    </row>
    <row r="363" spans="2:10" x14ac:dyDescent="0.2">
      <c r="B363" s="143">
        <f t="shared" si="5"/>
        <v>15</v>
      </c>
      <c r="C363" s="138" t="str">
        <f>TEXT(Таблица8[[#This Row],[Дата]],"М")</f>
        <v>4</v>
      </c>
      <c r="D363" s="144">
        <v>44658</v>
      </c>
      <c r="E363" s="143" t="s">
        <v>19</v>
      </c>
      <c r="F363" s="143" t="s">
        <v>96</v>
      </c>
      <c r="G363" s="147">
        <v>481</v>
      </c>
      <c r="H363" s="146"/>
      <c r="I363" s="142"/>
      <c r="J363" s="142"/>
    </row>
    <row r="364" spans="2:10" x14ac:dyDescent="0.2">
      <c r="B364" s="143">
        <f t="shared" si="5"/>
        <v>15</v>
      </c>
      <c r="C364" s="138" t="str">
        <f>TEXT(Таблица8[[#This Row],[Дата]],"М")</f>
        <v>4</v>
      </c>
      <c r="D364" s="144">
        <v>44658</v>
      </c>
      <c r="E364" s="143" t="s">
        <v>22</v>
      </c>
      <c r="F364" s="143" t="s">
        <v>38</v>
      </c>
      <c r="G364" s="147">
        <v>40</v>
      </c>
      <c r="H364" s="146"/>
      <c r="I364" s="142"/>
      <c r="J364" s="142"/>
    </row>
    <row r="365" spans="2:10" x14ac:dyDescent="0.2">
      <c r="B365" s="143">
        <f t="shared" si="5"/>
        <v>15</v>
      </c>
      <c r="C365" s="138" t="str">
        <f>TEXT(Таблица8[[#This Row],[Дата]],"М")</f>
        <v>4</v>
      </c>
      <c r="D365" s="144">
        <v>44658</v>
      </c>
      <c r="E365" s="143" t="s">
        <v>23</v>
      </c>
      <c r="F365" s="143" t="s">
        <v>111</v>
      </c>
      <c r="G365" s="147">
        <v>290</v>
      </c>
      <c r="H365" s="146"/>
      <c r="I365" s="142"/>
      <c r="J365" s="142"/>
    </row>
    <row r="366" spans="2:10" x14ac:dyDescent="0.2">
      <c r="B366" s="137">
        <f t="shared" si="5"/>
        <v>15</v>
      </c>
      <c r="C366" s="138" t="str">
        <f>TEXT(Таблица8[[#This Row],[Дата]],"М")</f>
        <v>4</v>
      </c>
      <c r="D366" s="139">
        <v>44659</v>
      </c>
      <c r="E366" s="137" t="s">
        <v>72</v>
      </c>
      <c r="F366" s="137" t="s">
        <v>43</v>
      </c>
      <c r="G366" s="140">
        <v>16</v>
      </c>
      <c r="H366" s="141"/>
      <c r="I366" s="142"/>
      <c r="J366" s="142"/>
    </row>
    <row r="367" spans="2:10" x14ac:dyDescent="0.2">
      <c r="B367" s="143">
        <f t="shared" si="5"/>
        <v>15</v>
      </c>
      <c r="C367" s="138" t="str">
        <f>TEXT(Таблица8[[#This Row],[Дата]],"М")</f>
        <v>4</v>
      </c>
      <c r="D367" s="144">
        <v>44659</v>
      </c>
      <c r="E367" s="143" t="s">
        <v>20</v>
      </c>
      <c r="F367" s="143" t="s">
        <v>99</v>
      </c>
      <c r="G367" s="147">
        <f>75+70</f>
        <v>145</v>
      </c>
      <c r="H367" s="146"/>
      <c r="I367" s="142"/>
      <c r="J367" s="142"/>
    </row>
    <row r="368" spans="2:10" x14ac:dyDescent="0.2">
      <c r="B368" s="143">
        <f t="shared" si="5"/>
        <v>15</v>
      </c>
      <c r="C368" s="138" t="str">
        <f>TEXT(Таблица8[[#This Row],[Дата]],"М")</f>
        <v>4</v>
      </c>
      <c r="D368" s="144">
        <v>44659</v>
      </c>
      <c r="E368" s="143" t="s">
        <v>22</v>
      </c>
      <c r="F368" s="143" t="s">
        <v>38</v>
      </c>
      <c r="G368" s="147">
        <v>60</v>
      </c>
      <c r="H368" s="146"/>
      <c r="I368" s="142"/>
      <c r="J368" s="142"/>
    </row>
    <row r="369" spans="2:10" x14ac:dyDescent="0.2">
      <c r="B369" s="143">
        <f t="shared" si="5"/>
        <v>15</v>
      </c>
      <c r="C369" s="138" t="str">
        <f>TEXT(Таблица8[[#This Row],[Дата]],"М")</f>
        <v>4</v>
      </c>
      <c r="D369" s="144">
        <v>44659</v>
      </c>
      <c r="E369" s="143" t="s">
        <v>30</v>
      </c>
      <c r="F369" s="143" t="s">
        <v>92</v>
      </c>
      <c r="G369" s="147">
        <f>109+149</f>
        <v>258</v>
      </c>
      <c r="H369" s="146"/>
      <c r="I369" s="142"/>
      <c r="J369" s="142"/>
    </row>
    <row r="370" spans="2:10" x14ac:dyDescent="0.2">
      <c r="B370" s="143">
        <f t="shared" si="5"/>
        <v>15</v>
      </c>
      <c r="C370" s="138" t="str">
        <f>TEXT(Таблица8[[#This Row],[Дата]],"М")</f>
        <v>4</v>
      </c>
      <c r="D370" s="144">
        <v>44659</v>
      </c>
      <c r="E370" s="143" t="s">
        <v>71</v>
      </c>
      <c r="F370" s="143" t="s">
        <v>94</v>
      </c>
      <c r="G370" s="147">
        <v>32</v>
      </c>
      <c r="H370" s="146"/>
      <c r="I370" s="142"/>
      <c r="J370" s="142"/>
    </row>
    <row r="371" spans="2:10" x14ac:dyDescent="0.2">
      <c r="B371" s="137">
        <f t="shared" si="5"/>
        <v>15</v>
      </c>
      <c r="C371" s="138" t="str">
        <f>TEXT(Таблица8[[#This Row],[Дата]],"М")</f>
        <v>4</v>
      </c>
      <c r="D371" s="139">
        <v>44660</v>
      </c>
      <c r="E371" s="137" t="s">
        <v>71</v>
      </c>
      <c r="F371" s="137" t="s">
        <v>91</v>
      </c>
      <c r="G371" s="140">
        <v>235</v>
      </c>
      <c r="H371" s="141"/>
      <c r="I371" s="142"/>
      <c r="J371" s="142"/>
    </row>
    <row r="372" spans="2:10" x14ac:dyDescent="0.2">
      <c r="B372" s="137">
        <f t="shared" si="5"/>
        <v>16</v>
      </c>
      <c r="C372" s="138" t="str">
        <f>TEXT(Таблица8[[#This Row],[Дата]],"М")</f>
        <v>4</v>
      </c>
      <c r="D372" s="139">
        <v>44661</v>
      </c>
      <c r="E372" s="137" t="s">
        <v>122</v>
      </c>
      <c r="F372" s="137" t="s">
        <v>43</v>
      </c>
      <c r="G372" s="140">
        <v>18</v>
      </c>
      <c r="H372" s="141"/>
      <c r="I372" s="142"/>
      <c r="J372" s="142"/>
    </row>
    <row r="373" spans="2:10" x14ac:dyDescent="0.2">
      <c r="B373" s="143">
        <f t="shared" si="5"/>
        <v>16</v>
      </c>
      <c r="C373" s="138" t="str">
        <f>TEXT(Таблица8[[#This Row],[Дата]],"М")</f>
        <v>4</v>
      </c>
      <c r="D373" s="144">
        <v>44661</v>
      </c>
      <c r="E373" s="143" t="s">
        <v>72</v>
      </c>
      <c r="F373" s="143" t="s">
        <v>43</v>
      </c>
      <c r="G373" s="147">
        <v>20</v>
      </c>
      <c r="H373" s="146"/>
      <c r="I373" s="142"/>
      <c r="J373" s="142"/>
    </row>
    <row r="374" spans="2:10" x14ac:dyDescent="0.2">
      <c r="B374" s="143">
        <f t="shared" si="5"/>
        <v>16</v>
      </c>
      <c r="C374" s="138" t="str">
        <f>TEXT(Таблица8[[#This Row],[Дата]],"М")</f>
        <v>4</v>
      </c>
      <c r="D374" s="144">
        <v>44661</v>
      </c>
      <c r="E374" s="143" t="s">
        <v>71</v>
      </c>
      <c r="F374" s="143" t="s">
        <v>94</v>
      </c>
      <c r="G374" s="147">
        <f>32*4</f>
        <v>128</v>
      </c>
      <c r="H374" s="146"/>
      <c r="I374" s="142"/>
      <c r="J374" s="142"/>
    </row>
    <row r="375" spans="2:10" x14ac:dyDescent="0.2">
      <c r="B375" s="143">
        <f t="shared" si="5"/>
        <v>16</v>
      </c>
      <c r="C375" s="138" t="str">
        <f>TEXT(Таблица8[[#This Row],[Дата]],"М")</f>
        <v>4</v>
      </c>
      <c r="D375" s="144">
        <v>44661</v>
      </c>
      <c r="E375" s="143" t="s">
        <v>19</v>
      </c>
      <c r="F375" s="143" t="s">
        <v>96</v>
      </c>
      <c r="G375" s="147">
        <f>486+42+47</f>
        <v>575</v>
      </c>
      <c r="H375" s="146"/>
      <c r="I375" s="142"/>
      <c r="J375" s="142"/>
    </row>
    <row r="376" spans="2:10" ht="16.5" customHeight="1" x14ac:dyDescent="0.2">
      <c r="B376" s="137">
        <f t="shared" si="5"/>
        <v>16</v>
      </c>
      <c r="C376" s="138" t="str">
        <f>TEXT(Таблица8[[#This Row],[Дата]],"М")</f>
        <v>4</v>
      </c>
      <c r="D376" s="139">
        <v>44662</v>
      </c>
      <c r="E376" s="137" t="s">
        <v>72</v>
      </c>
      <c r="F376" s="137" t="s">
        <v>41</v>
      </c>
      <c r="G376" s="140">
        <v>450</v>
      </c>
      <c r="H376" s="141"/>
      <c r="I376" s="142"/>
      <c r="J376" s="142"/>
    </row>
    <row r="377" spans="2:10" x14ac:dyDescent="0.2">
      <c r="B377" s="143">
        <f t="shared" si="5"/>
        <v>16</v>
      </c>
      <c r="C377" s="138" t="str">
        <f>TEXT(Таблица8[[#This Row],[Дата]],"М")</f>
        <v>4</v>
      </c>
      <c r="D377" s="144">
        <v>44662</v>
      </c>
      <c r="E377" s="143" t="s">
        <v>72</v>
      </c>
      <c r="F377" s="143" t="s">
        <v>43</v>
      </c>
      <c r="G377" s="147">
        <v>22</v>
      </c>
      <c r="H377" s="146"/>
      <c r="I377" s="142"/>
      <c r="J377" s="142"/>
    </row>
    <row r="378" spans="2:10" x14ac:dyDescent="0.2">
      <c r="B378" s="143">
        <f t="shared" si="5"/>
        <v>16</v>
      </c>
      <c r="C378" s="138" t="str">
        <f>TEXT(Таблица8[[#This Row],[Дата]],"М")</f>
        <v>4</v>
      </c>
      <c r="D378" s="144">
        <v>44662</v>
      </c>
      <c r="E378" s="143" t="s">
        <v>71</v>
      </c>
      <c r="F378" s="143" t="s">
        <v>94</v>
      </c>
      <c r="G378" s="147">
        <v>42</v>
      </c>
      <c r="H378" s="146"/>
      <c r="I378" s="142"/>
      <c r="J378" s="142"/>
    </row>
    <row r="379" spans="2:10" x14ac:dyDescent="0.2">
      <c r="B379" s="143">
        <f t="shared" si="5"/>
        <v>16</v>
      </c>
      <c r="C379" s="138" t="str">
        <f>TEXT(Таблица8[[#This Row],[Дата]],"М")</f>
        <v>4</v>
      </c>
      <c r="D379" s="144">
        <v>44662</v>
      </c>
      <c r="E379" s="143" t="s">
        <v>20</v>
      </c>
      <c r="F379" s="143" t="s">
        <v>99</v>
      </c>
      <c r="G379" s="147">
        <f>126+47</f>
        <v>173</v>
      </c>
      <c r="H379" s="146"/>
      <c r="I379" s="142"/>
      <c r="J379" s="142"/>
    </row>
    <row r="380" spans="2:10" x14ac:dyDescent="0.2">
      <c r="B380" s="137">
        <f t="shared" si="5"/>
        <v>16</v>
      </c>
      <c r="C380" s="138" t="str">
        <f>TEXT(Таблица8[[#This Row],[Дата]],"М")</f>
        <v>4</v>
      </c>
      <c r="D380" s="139">
        <v>44663</v>
      </c>
      <c r="E380" s="137" t="s">
        <v>72</v>
      </c>
      <c r="F380" s="137" t="s">
        <v>41</v>
      </c>
      <c r="G380" s="140">
        <v>100</v>
      </c>
      <c r="H380" s="141"/>
      <c r="I380" s="142"/>
      <c r="J380" s="142"/>
    </row>
    <row r="381" spans="2:10" x14ac:dyDescent="0.2">
      <c r="B381" s="143">
        <f t="shared" si="5"/>
        <v>16</v>
      </c>
      <c r="C381" s="138" t="str">
        <f>TEXT(Таблица8[[#This Row],[Дата]],"М")</f>
        <v>4</v>
      </c>
      <c r="D381" s="144">
        <v>44663</v>
      </c>
      <c r="E381" s="143" t="s">
        <v>72</v>
      </c>
      <c r="F381" s="143" t="s">
        <v>43</v>
      </c>
      <c r="G381" s="147">
        <v>24</v>
      </c>
      <c r="H381" s="146"/>
      <c r="I381" s="142"/>
      <c r="J381" s="142"/>
    </row>
    <row r="382" spans="2:10" x14ac:dyDescent="0.2">
      <c r="B382" s="143">
        <f t="shared" si="5"/>
        <v>16</v>
      </c>
      <c r="C382" s="138" t="str">
        <f>TEXT(Таблица8[[#This Row],[Дата]],"М")</f>
        <v>4</v>
      </c>
      <c r="D382" s="144">
        <v>44663</v>
      </c>
      <c r="E382" s="143" t="s">
        <v>20</v>
      </c>
      <c r="F382" s="143" t="s">
        <v>99</v>
      </c>
      <c r="G382" s="147">
        <f>166+42</f>
        <v>208</v>
      </c>
      <c r="H382" s="146"/>
      <c r="I382" s="142"/>
      <c r="J382" s="142"/>
    </row>
    <row r="383" spans="2:10" x14ac:dyDescent="0.2">
      <c r="B383" s="143">
        <f t="shared" ref="B383:B446" si="6">WEEKNUM(D383)</f>
        <v>16</v>
      </c>
      <c r="C383" s="138" t="str">
        <f>TEXT(Таблица8[[#This Row],[Дата]],"М")</f>
        <v>4</v>
      </c>
      <c r="D383" s="144">
        <v>44663</v>
      </c>
      <c r="E383" s="143" t="s">
        <v>19</v>
      </c>
      <c r="F383" s="143" t="s">
        <v>96</v>
      </c>
      <c r="G383" s="147">
        <f>335+32</f>
        <v>367</v>
      </c>
      <c r="H383" s="146"/>
      <c r="I383" s="142"/>
      <c r="J383" s="142"/>
    </row>
    <row r="384" spans="2:10" x14ac:dyDescent="0.2">
      <c r="B384" s="137">
        <f t="shared" si="6"/>
        <v>16</v>
      </c>
      <c r="C384" s="138" t="str">
        <f>TEXT(Таблица8[[#This Row],[Дата]],"М")</f>
        <v>4</v>
      </c>
      <c r="D384" s="139">
        <v>44664</v>
      </c>
      <c r="E384" s="137" t="s">
        <v>72</v>
      </c>
      <c r="F384" s="137" t="s">
        <v>43</v>
      </c>
      <c r="G384" s="140">
        <v>26</v>
      </c>
      <c r="H384" s="141"/>
      <c r="I384" s="142"/>
      <c r="J384" s="142"/>
    </row>
    <row r="385" spans="2:10" x14ac:dyDescent="0.2">
      <c r="B385" s="143">
        <f t="shared" si="6"/>
        <v>16</v>
      </c>
      <c r="C385" s="138" t="str">
        <f>TEXT(Таблица8[[#This Row],[Дата]],"М")</f>
        <v>4</v>
      </c>
      <c r="D385" s="144">
        <v>44664</v>
      </c>
      <c r="E385" s="143" t="s">
        <v>71</v>
      </c>
      <c r="F385" s="143" t="s">
        <v>94</v>
      </c>
      <c r="G385" s="147">
        <v>32</v>
      </c>
      <c r="H385" s="146"/>
      <c r="I385" s="142"/>
      <c r="J385" s="142"/>
    </row>
    <row r="386" spans="2:10" x14ac:dyDescent="0.2">
      <c r="B386" s="143">
        <f t="shared" si="6"/>
        <v>16</v>
      </c>
      <c r="C386" s="138" t="str">
        <f>TEXT(Таблица8[[#This Row],[Дата]],"М")</f>
        <v>4</v>
      </c>
      <c r="D386" s="144">
        <v>44664</v>
      </c>
      <c r="E386" s="143" t="s">
        <v>20</v>
      </c>
      <c r="F386" s="143" t="s">
        <v>99</v>
      </c>
      <c r="G386" s="147">
        <f>184+20</f>
        <v>204</v>
      </c>
      <c r="H386" s="146"/>
      <c r="I386" s="142"/>
      <c r="J386" s="142"/>
    </row>
    <row r="387" spans="2:10" x14ac:dyDescent="0.2">
      <c r="B387" s="143">
        <f t="shared" si="6"/>
        <v>16</v>
      </c>
      <c r="C387" s="138" t="str">
        <f>TEXT(Таблица8[[#This Row],[Дата]],"М")</f>
        <v>4</v>
      </c>
      <c r="D387" s="144">
        <v>44664</v>
      </c>
      <c r="E387" s="143" t="s">
        <v>19</v>
      </c>
      <c r="F387" s="143" t="s">
        <v>96</v>
      </c>
      <c r="G387" s="147">
        <v>78</v>
      </c>
      <c r="H387" s="146"/>
      <c r="I387" s="142"/>
      <c r="J387" s="142"/>
    </row>
    <row r="388" spans="2:10" x14ac:dyDescent="0.2">
      <c r="B388" s="137">
        <f t="shared" si="6"/>
        <v>16</v>
      </c>
      <c r="C388" s="138" t="str">
        <f>TEXT(Таблица8[[#This Row],[Дата]],"М")</f>
        <v>4</v>
      </c>
      <c r="D388" s="139">
        <v>44665</v>
      </c>
      <c r="E388" s="137" t="s">
        <v>72</v>
      </c>
      <c r="F388" s="137" t="s">
        <v>43</v>
      </c>
      <c r="G388" s="140">
        <v>28</v>
      </c>
      <c r="H388" s="141"/>
      <c r="I388" s="142"/>
      <c r="J388" s="142"/>
    </row>
    <row r="389" spans="2:10" x14ac:dyDescent="0.2">
      <c r="B389" s="143">
        <f t="shared" si="6"/>
        <v>16</v>
      </c>
      <c r="C389" s="138" t="str">
        <f>TEXT(Таблица8[[#This Row],[Дата]],"М")</f>
        <v>4</v>
      </c>
      <c r="D389" s="144">
        <v>44665</v>
      </c>
      <c r="E389" s="143" t="s">
        <v>71</v>
      </c>
      <c r="F389" s="143" t="s">
        <v>94</v>
      </c>
      <c r="G389" s="147">
        <f>64</f>
        <v>64</v>
      </c>
      <c r="H389" s="146"/>
      <c r="I389" s="142"/>
      <c r="J389" s="142"/>
    </row>
    <row r="390" spans="2:10" x14ac:dyDescent="0.2">
      <c r="B390" s="143">
        <f t="shared" si="6"/>
        <v>16</v>
      </c>
      <c r="C390" s="138" t="str">
        <f>TEXT(Таблица8[[#This Row],[Дата]],"М")</f>
        <v>4</v>
      </c>
      <c r="D390" s="144">
        <v>44665</v>
      </c>
      <c r="E390" s="143" t="s">
        <v>20</v>
      </c>
      <c r="F390" s="143" t="s">
        <v>99</v>
      </c>
      <c r="G390" s="147">
        <f>163</f>
        <v>163</v>
      </c>
      <c r="H390" s="146"/>
      <c r="I390" s="142"/>
      <c r="J390" s="142"/>
    </row>
    <row r="391" spans="2:10" x14ac:dyDescent="0.2">
      <c r="B391" s="137">
        <f t="shared" si="6"/>
        <v>16</v>
      </c>
      <c r="C391" s="138" t="str">
        <f>TEXT(Таблица8[[#This Row],[Дата]],"М")</f>
        <v>4</v>
      </c>
      <c r="D391" s="139">
        <v>44666</v>
      </c>
      <c r="E391" s="137" t="s">
        <v>72</v>
      </c>
      <c r="F391" s="137" t="s">
        <v>43</v>
      </c>
      <c r="G391" s="140">
        <v>30</v>
      </c>
      <c r="H391" s="141"/>
      <c r="I391" s="142"/>
      <c r="J391" s="142"/>
    </row>
    <row r="392" spans="2:10" x14ac:dyDescent="0.2">
      <c r="B392" s="143">
        <f t="shared" si="6"/>
        <v>16</v>
      </c>
      <c r="C392" s="138" t="str">
        <f>TEXT(Таблица8[[#This Row],[Дата]],"М")</f>
        <v>4</v>
      </c>
      <c r="D392" s="144">
        <v>44666</v>
      </c>
      <c r="E392" s="143" t="s">
        <v>19</v>
      </c>
      <c r="F392" s="143" t="s">
        <v>96</v>
      </c>
      <c r="G392" s="147">
        <v>103</v>
      </c>
      <c r="H392" s="146"/>
      <c r="I392" s="142"/>
      <c r="J392" s="142"/>
    </row>
    <row r="393" spans="2:10" x14ac:dyDescent="0.2">
      <c r="B393" s="143">
        <f t="shared" si="6"/>
        <v>16</v>
      </c>
      <c r="C393" s="138" t="str">
        <f>TEXT(Таблица8[[#This Row],[Дата]],"М")</f>
        <v>4</v>
      </c>
      <c r="D393" s="144">
        <v>44666</v>
      </c>
      <c r="E393" s="143" t="s">
        <v>20</v>
      </c>
      <c r="F393" s="143" t="s">
        <v>97</v>
      </c>
      <c r="G393" s="147">
        <v>369</v>
      </c>
      <c r="H393" s="146"/>
      <c r="I393" s="142"/>
      <c r="J393" s="142"/>
    </row>
    <row r="394" spans="2:10" x14ac:dyDescent="0.2">
      <c r="B394" s="143">
        <f t="shared" si="6"/>
        <v>16</v>
      </c>
      <c r="C394" s="138" t="str">
        <f>TEXT(Таблица8[[#This Row],[Дата]],"М")</f>
        <v>4</v>
      </c>
      <c r="D394" s="144">
        <v>44666</v>
      </c>
      <c r="E394" s="143" t="s">
        <v>23</v>
      </c>
      <c r="F394" s="143" t="s">
        <v>111</v>
      </c>
      <c r="G394" s="147">
        <v>152</v>
      </c>
      <c r="H394" s="146"/>
      <c r="I394" s="142"/>
      <c r="J394" s="142"/>
    </row>
    <row r="395" spans="2:10" x14ac:dyDescent="0.2">
      <c r="B395" s="143">
        <f t="shared" si="6"/>
        <v>16</v>
      </c>
      <c r="C395" s="138" t="str">
        <f>TEXT(Таблица8[[#This Row],[Дата]],"М")</f>
        <v>4</v>
      </c>
      <c r="D395" s="144">
        <v>44666</v>
      </c>
      <c r="E395" s="143" t="s">
        <v>20</v>
      </c>
      <c r="F395" s="143" t="s">
        <v>99</v>
      </c>
      <c r="G395" s="147">
        <v>164</v>
      </c>
      <c r="H395" s="146"/>
      <c r="I395" s="142"/>
      <c r="J395" s="142"/>
    </row>
    <row r="396" spans="2:10" x14ac:dyDescent="0.2">
      <c r="B396" s="137">
        <f t="shared" si="6"/>
        <v>16</v>
      </c>
      <c r="C396" s="138" t="str">
        <f>TEXT(Таблица8[[#This Row],[Дата]],"М")</f>
        <v>4</v>
      </c>
      <c r="D396" s="139">
        <v>44667</v>
      </c>
      <c r="E396" s="137" t="s">
        <v>72</v>
      </c>
      <c r="F396" s="137" t="s">
        <v>41</v>
      </c>
      <c r="G396" s="140">
        <v>600</v>
      </c>
      <c r="H396" s="141"/>
      <c r="I396" s="142"/>
      <c r="J396" s="142"/>
    </row>
    <row r="397" spans="2:10" x14ac:dyDescent="0.2">
      <c r="B397" s="143">
        <f t="shared" si="6"/>
        <v>16</v>
      </c>
      <c r="C397" s="138" t="str">
        <f>TEXT(Таблица8[[#This Row],[Дата]],"М")</f>
        <v>4</v>
      </c>
      <c r="D397" s="144">
        <v>44667</v>
      </c>
      <c r="E397" s="143" t="s">
        <v>72</v>
      </c>
      <c r="F397" s="143" t="s">
        <v>44</v>
      </c>
      <c r="G397" s="147">
        <v>400</v>
      </c>
      <c r="H397" s="146"/>
      <c r="I397" s="142"/>
      <c r="J397" s="142"/>
    </row>
    <row r="398" spans="2:10" x14ac:dyDescent="0.2">
      <c r="B398" s="143">
        <f t="shared" si="6"/>
        <v>16</v>
      </c>
      <c r="C398" s="138" t="str">
        <f>TEXT(Таблица8[[#This Row],[Дата]],"М")</f>
        <v>4</v>
      </c>
      <c r="D398" s="144">
        <v>44667</v>
      </c>
      <c r="E398" s="143" t="s">
        <v>72</v>
      </c>
      <c r="F398" s="143" t="s">
        <v>43</v>
      </c>
      <c r="G398" s="147">
        <v>30</v>
      </c>
      <c r="H398" s="146"/>
      <c r="I398" s="142"/>
      <c r="J398" s="142"/>
    </row>
    <row r="399" spans="2:10" x14ac:dyDescent="0.2">
      <c r="B399" s="143">
        <f t="shared" si="6"/>
        <v>16</v>
      </c>
      <c r="C399" s="138" t="str">
        <f>TEXT(Таблица8[[#This Row],[Дата]],"М")</f>
        <v>4</v>
      </c>
      <c r="D399" s="144">
        <v>44667</v>
      </c>
      <c r="E399" s="143" t="s">
        <v>71</v>
      </c>
      <c r="F399" s="143" t="s">
        <v>115</v>
      </c>
      <c r="G399" s="147">
        <f>60+200</f>
        <v>260</v>
      </c>
      <c r="H399" s="146" t="s">
        <v>123</v>
      </c>
      <c r="I399" s="142"/>
      <c r="J399" s="142"/>
    </row>
    <row r="400" spans="2:10" x14ac:dyDescent="0.2">
      <c r="B400" s="143">
        <f t="shared" si="6"/>
        <v>16</v>
      </c>
      <c r="C400" s="138" t="str">
        <f>TEXT(Таблица8[[#This Row],[Дата]],"М")</f>
        <v>4</v>
      </c>
      <c r="D400" s="144">
        <v>44667</v>
      </c>
      <c r="E400" s="143" t="s">
        <v>72</v>
      </c>
      <c r="F400" s="143"/>
      <c r="G400" s="147">
        <v>400</v>
      </c>
      <c r="H400" s="146" t="s">
        <v>124</v>
      </c>
      <c r="I400" s="142"/>
      <c r="J400" s="142"/>
    </row>
    <row r="401" spans="2:11" x14ac:dyDescent="0.2">
      <c r="B401" s="143">
        <f t="shared" si="6"/>
        <v>16</v>
      </c>
      <c r="C401" s="138" t="str">
        <f>TEXT(Таблица8[[#This Row],[Дата]],"М")</f>
        <v>4</v>
      </c>
      <c r="D401" s="144">
        <v>44667</v>
      </c>
      <c r="E401" s="143" t="s">
        <v>71</v>
      </c>
      <c r="F401" s="143" t="s">
        <v>108</v>
      </c>
      <c r="G401" s="147">
        <v>64</v>
      </c>
      <c r="H401" s="146" t="s">
        <v>123</v>
      </c>
      <c r="I401" s="142"/>
      <c r="J401" s="142"/>
    </row>
    <row r="402" spans="2:11" x14ac:dyDescent="0.2">
      <c r="B402" s="143">
        <f t="shared" si="6"/>
        <v>16</v>
      </c>
      <c r="C402" s="138" t="str">
        <f>TEXT(Таблица8[[#This Row],[Дата]],"М")</f>
        <v>4</v>
      </c>
      <c r="D402" s="144">
        <v>44667</v>
      </c>
      <c r="E402" s="143" t="s">
        <v>20</v>
      </c>
      <c r="F402" s="143" t="s">
        <v>125</v>
      </c>
      <c r="G402" s="147">
        <f>274</f>
        <v>274</v>
      </c>
      <c r="H402" s="146"/>
      <c r="I402" s="142"/>
      <c r="J402" s="142"/>
    </row>
    <row r="403" spans="2:11" x14ac:dyDescent="0.2">
      <c r="B403" s="143">
        <f t="shared" si="6"/>
        <v>16</v>
      </c>
      <c r="C403" s="138" t="str">
        <f>TEXT(Таблица8[[#This Row],[Дата]],"М")</f>
        <v>4</v>
      </c>
      <c r="D403" s="144">
        <v>44667</v>
      </c>
      <c r="E403" s="143" t="s">
        <v>19</v>
      </c>
      <c r="F403" s="143" t="s">
        <v>96</v>
      </c>
      <c r="G403" s="147">
        <v>124</v>
      </c>
      <c r="H403" s="146" t="s">
        <v>123</v>
      </c>
      <c r="I403" s="142"/>
      <c r="J403" s="142"/>
    </row>
    <row r="404" spans="2:11" x14ac:dyDescent="0.2">
      <c r="B404" s="137">
        <f t="shared" si="6"/>
        <v>17</v>
      </c>
      <c r="C404" s="138" t="str">
        <f>TEXT(Таблица8[[#This Row],[Дата]],"М")</f>
        <v>4</v>
      </c>
      <c r="D404" s="139">
        <v>44668</v>
      </c>
      <c r="E404" s="137" t="s">
        <v>72</v>
      </c>
      <c r="F404" s="137" t="s">
        <v>43</v>
      </c>
      <c r="G404" s="140">
        <v>34</v>
      </c>
      <c r="H404" s="141"/>
      <c r="I404" s="142"/>
      <c r="J404" s="142"/>
    </row>
    <row r="405" spans="2:11" x14ac:dyDescent="0.2">
      <c r="B405" s="143">
        <f t="shared" si="6"/>
        <v>17</v>
      </c>
      <c r="C405" s="138" t="str">
        <f>TEXT(Таблица8[[#This Row],[Дата]],"М")</f>
        <v>4</v>
      </c>
      <c r="D405" s="144">
        <v>44668</v>
      </c>
      <c r="E405" s="143" t="s">
        <v>71</v>
      </c>
      <c r="F405" s="143" t="s">
        <v>115</v>
      </c>
      <c r="G405" s="147">
        <v>276</v>
      </c>
      <c r="H405" s="146"/>
      <c r="I405" s="142"/>
      <c r="J405" s="142"/>
    </row>
    <row r="406" spans="2:11" x14ac:dyDescent="0.2">
      <c r="B406" s="143">
        <f t="shared" si="6"/>
        <v>17</v>
      </c>
      <c r="C406" s="138" t="str">
        <f>TEXT(Таблица8[[#This Row],[Дата]],"М")</f>
        <v>4</v>
      </c>
      <c r="D406" s="144">
        <v>44668</v>
      </c>
      <c r="E406" s="143" t="s">
        <v>20</v>
      </c>
      <c r="F406" s="143" t="s">
        <v>95</v>
      </c>
      <c r="G406" s="147">
        <v>20</v>
      </c>
      <c r="H406" s="146"/>
      <c r="I406" s="142"/>
      <c r="J406" s="142"/>
    </row>
    <row r="407" spans="2:11" x14ac:dyDescent="0.2">
      <c r="B407" s="143">
        <f t="shared" si="6"/>
        <v>17</v>
      </c>
      <c r="C407" s="138" t="str">
        <f>TEXT(Таблица8[[#This Row],[Дата]],"М")</f>
        <v>4</v>
      </c>
      <c r="D407" s="144">
        <v>44668</v>
      </c>
      <c r="E407" s="143" t="s">
        <v>19</v>
      </c>
      <c r="F407" s="143" t="s">
        <v>96</v>
      </c>
      <c r="G407" s="147">
        <f>170+32+50+426</f>
        <v>678</v>
      </c>
      <c r="H407" s="146"/>
      <c r="I407" s="142"/>
      <c r="J407" s="142"/>
      <c r="K407" s="164"/>
    </row>
    <row r="408" spans="2:11" x14ac:dyDescent="0.2">
      <c r="B408" s="137">
        <f t="shared" si="6"/>
        <v>17</v>
      </c>
      <c r="C408" s="138" t="str">
        <f>TEXT(Таблица8[[#This Row],[Дата]],"М")</f>
        <v>4</v>
      </c>
      <c r="D408" s="139">
        <v>44669</v>
      </c>
      <c r="E408" s="137" t="s">
        <v>72</v>
      </c>
      <c r="F408" s="137" t="s">
        <v>41</v>
      </c>
      <c r="G408" s="140">
        <v>450</v>
      </c>
      <c r="H408" s="141"/>
      <c r="I408" s="142"/>
      <c r="J408" s="142"/>
    </row>
    <row r="409" spans="2:11" x14ac:dyDescent="0.2">
      <c r="B409" s="143">
        <f t="shared" si="6"/>
        <v>17</v>
      </c>
      <c r="C409" s="138" t="str">
        <f>TEXT(Таблица8[[#This Row],[Дата]],"М")</f>
        <v>4</v>
      </c>
      <c r="D409" s="144">
        <v>44669</v>
      </c>
      <c r="E409" s="143" t="s">
        <v>72</v>
      </c>
      <c r="F409" s="143" t="s">
        <v>43</v>
      </c>
      <c r="G409" s="147">
        <v>38</v>
      </c>
      <c r="H409" s="146"/>
      <c r="I409" s="142"/>
      <c r="J409" s="142"/>
    </row>
    <row r="410" spans="2:11" x14ac:dyDescent="0.2">
      <c r="B410" s="143">
        <f t="shared" si="6"/>
        <v>17</v>
      </c>
      <c r="C410" s="138" t="str">
        <f>TEXT(Таблица8[[#This Row],[Дата]],"М")</f>
        <v>4</v>
      </c>
      <c r="D410" s="144">
        <v>44669</v>
      </c>
      <c r="E410" s="143" t="s">
        <v>20</v>
      </c>
      <c r="F410" s="143" t="s">
        <v>99</v>
      </c>
      <c r="G410" s="147">
        <v>182</v>
      </c>
      <c r="H410" s="146"/>
      <c r="I410" s="142"/>
      <c r="J410" s="142"/>
    </row>
    <row r="411" spans="2:11" x14ac:dyDescent="0.2">
      <c r="B411" s="137">
        <f t="shared" si="6"/>
        <v>17</v>
      </c>
      <c r="C411" s="138" t="str">
        <f>TEXT(Таблица8[[#This Row],[Дата]],"М")</f>
        <v>4</v>
      </c>
      <c r="D411" s="139">
        <v>44670</v>
      </c>
      <c r="E411" s="137" t="s">
        <v>72</v>
      </c>
      <c r="F411" s="137" t="s">
        <v>43</v>
      </c>
      <c r="G411" s="140">
        <v>40</v>
      </c>
      <c r="H411" s="141"/>
      <c r="I411" s="142"/>
      <c r="J411" s="142"/>
    </row>
    <row r="412" spans="2:11" x14ac:dyDescent="0.2">
      <c r="B412" s="143">
        <f t="shared" si="6"/>
        <v>17</v>
      </c>
      <c r="C412" s="138" t="str">
        <f>TEXT(Таблица8[[#This Row],[Дата]],"М")</f>
        <v>4</v>
      </c>
      <c r="D412" s="144">
        <v>44670</v>
      </c>
      <c r="E412" s="143" t="s">
        <v>20</v>
      </c>
      <c r="F412" s="143" t="s">
        <v>99</v>
      </c>
      <c r="G412" s="147">
        <f>175+44</f>
        <v>219</v>
      </c>
      <c r="H412" s="146"/>
      <c r="I412" s="142"/>
      <c r="J412" s="142"/>
    </row>
    <row r="413" spans="2:11" x14ac:dyDescent="0.2">
      <c r="B413" s="143">
        <f t="shared" si="6"/>
        <v>17</v>
      </c>
      <c r="C413" s="138" t="str">
        <f>TEXT(Таблица8[[#This Row],[Дата]],"М")</f>
        <v>4</v>
      </c>
      <c r="D413" s="144">
        <v>44670</v>
      </c>
      <c r="E413" s="143" t="s">
        <v>71</v>
      </c>
      <c r="F413" s="143" t="s">
        <v>94</v>
      </c>
      <c r="G413" s="147">
        <f>64</f>
        <v>64</v>
      </c>
      <c r="H413" s="146"/>
      <c r="I413" s="142"/>
      <c r="J413" s="142"/>
    </row>
    <row r="414" spans="2:11" x14ac:dyDescent="0.2">
      <c r="B414" s="143">
        <f t="shared" si="6"/>
        <v>17</v>
      </c>
      <c r="C414" s="138" t="str">
        <f>TEXT(Таблица8[[#This Row],[Дата]],"М")</f>
        <v>4</v>
      </c>
      <c r="D414" s="144">
        <v>44670</v>
      </c>
      <c r="E414" s="143" t="s">
        <v>20</v>
      </c>
      <c r="F414" s="143" t="s">
        <v>102</v>
      </c>
      <c r="G414" s="147">
        <v>150</v>
      </c>
      <c r="H414" s="146"/>
      <c r="I414" s="142"/>
      <c r="J414" s="142"/>
    </row>
    <row r="415" spans="2:11" x14ac:dyDescent="0.2">
      <c r="B415" s="137">
        <f t="shared" si="6"/>
        <v>17</v>
      </c>
      <c r="C415" s="138" t="str">
        <f>TEXT(Таблица8[[#This Row],[Дата]],"М")</f>
        <v>4</v>
      </c>
      <c r="D415" s="139">
        <v>44671</v>
      </c>
      <c r="E415" s="137" t="s">
        <v>72</v>
      </c>
      <c r="F415" s="137" t="s">
        <v>43</v>
      </c>
      <c r="G415" s="140">
        <v>42</v>
      </c>
      <c r="H415" s="141"/>
      <c r="I415" s="142"/>
      <c r="J415" s="142"/>
    </row>
    <row r="416" spans="2:11" x14ac:dyDescent="0.2">
      <c r="B416" s="143">
        <f t="shared" si="6"/>
        <v>17</v>
      </c>
      <c r="C416" s="138" t="str">
        <f>TEXT(Таблица8[[#This Row],[Дата]],"М")</f>
        <v>4</v>
      </c>
      <c r="D416" s="144">
        <v>44671</v>
      </c>
      <c r="E416" s="143" t="s">
        <v>20</v>
      </c>
      <c r="F416" s="143" t="s">
        <v>99</v>
      </c>
      <c r="G416" s="147">
        <f>113+60</f>
        <v>173</v>
      </c>
      <c r="H416" s="146"/>
      <c r="I416" s="142"/>
      <c r="J416" s="142"/>
    </row>
    <row r="417" spans="2:10" x14ac:dyDescent="0.2">
      <c r="B417" s="143">
        <f t="shared" si="6"/>
        <v>17</v>
      </c>
      <c r="C417" s="138" t="str">
        <f>TEXT(Таблица8[[#This Row],[Дата]],"М")</f>
        <v>4</v>
      </c>
      <c r="D417" s="144">
        <v>44671</v>
      </c>
      <c r="E417" s="143" t="s">
        <v>71</v>
      </c>
      <c r="F417" s="143" t="s">
        <v>94</v>
      </c>
      <c r="G417" s="147">
        <f>64</f>
        <v>64</v>
      </c>
      <c r="H417" s="146"/>
      <c r="I417" s="142"/>
      <c r="J417" s="142"/>
    </row>
    <row r="418" spans="2:10" x14ac:dyDescent="0.2">
      <c r="B418" s="143">
        <f t="shared" si="6"/>
        <v>17</v>
      </c>
      <c r="C418" s="138" t="str">
        <f>TEXT(Таблица8[[#This Row],[Дата]],"М")</f>
        <v>4</v>
      </c>
      <c r="D418" s="144">
        <v>44671</v>
      </c>
      <c r="E418" s="143" t="s">
        <v>19</v>
      </c>
      <c r="F418" s="143" t="s">
        <v>96</v>
      </c>
      <c r="G418" s="147">
        <v>351</v>
      </c>
      <c r="H418" s="146"/>
      <c r="I418" s="142"/>
      <c r="J418" s="142"/>
    </row>
    <row r="419" spans="2:10" x14ac:dyDescent="0.2">
      <c r="B419" s="137">
        <f t="shared" si="6"/>
        <v>17</v>
      </c>
      <c r="C419" s="138" t="str">
        <f>TEXT(Таблица8[[#This Row],[Дата]],"М")</f>
        <v>4</v>
      </c>
      <c r="D419" s="139">
        <v>44672</v>
      </c>
      <c r="E419" s="137" t="s">
        <v>72</v>
      </c>
      <c r="F419" s="137" t="s">
        <v>43</v>
      </c>
      <c r="G419" s="140">
        <v>44</v>
      </c>
      <c r="H419" s="141"/>
      <c r="I419" s="142"/>
      <c r="J419" s="142"/>
    </row>
    <row r="420" spans="2:10" x14ac:dyDescent="0.2">
      <c r="B420" s="143">
        <f t="shared" si="6"/>
        <v>17</v>
      </c>
      <c r="C420" s="138" t="str">
        <f>TEXT(Таблица8[[#This Row],[Дата]],"М")</f>
        <v>4</v>
      </c>
      <c r="D420" s="144">
        <v>44672</v>
      </c>
      <c r="E420" s="143" t="s">
        <v>20</v>
      </c>
      <c r="F420" s="143" t="s">
        <v>99</v>
      </c>
      <c r="G420" s="147">
        <f>60+112+110-35</f>
        <v>247</v>
      </c>
      <c r="H420" s="146"/>
      <c r="I420" s="142"/>
      <c r="J420" s="142"/>
    </row>
    <row r="421" spans="2:10" x14ac:dyDescent="0.2">
      <c r="B421" s="143">
        <f t="shared" si="6"/>
        <v>17</v>
      </c>
      <c r="C421" s="138" t="str">
        <f>TEXT(Таблица8[[#This Row],[Дата]],"М")</f>
        <v>4</v>
      </c>
      <c r="D421" s="144">
        <v>44672</v>
      </c>
      <c r="E421" s="143" t="s">
        <v>22</v>
      </c>
      <c r="F421" s="143" t="s">
        <v>104</v>
      </c>
      <c r="G421" s="147">
        <v>698</v>
      </c>
      <c r="H421" s="146"/>
      <c r="I421" s="142"/>
      <c r="J421" s="142"/>
    </row>
    <row r="422" spans="2:10" x14ac:dyDescent="0.2">
      <c r="B422" s="143">
        <f t="shared" si="6"/>
        <v>17</v>
      </c>
      <c r="C422" s="138" t="str">
        <f>TEXT(Таблица8[[#This Row],[Дата]],"М")</f>
        <v>4</v>
      </c>
      <c r="D422" s="144">
        <v>44672</v>
      </c>
      <c r="E422" s="143" t="s">
        <v>19</v>
      </c>
      <c r="F422" s="143" t="s">
        <v>96</v>
      </c>
      <c r="G422" s="147">
        <f>547+32</f>
        <v>579</v>
      </c>
      <c r="H422" s="146"/>
      <c r="I422" s="142"/>
      <c r="J422" s="142"/>
    </row>
    <row r="423" spans="2:10" x14ac:dyDescent="0.2">
      <c r="B423" s="137">
        <f t="shared" si="6"/>
        <v>17</v>
      </c>
      <c r="C423" s="138" t="str">
        <f>TEXT(Таблица8[[#This Row],[Дата]],"М")</f>
        <v>4</v>
      </c>
      <c r="D423" s="139">
        <v>44673</v>
      </c>
      <c r="E423" s="137" t="s">
        <v>72</v>
      </c>
      <c r="F423" s="137" t="s">
        <v>43</v>
      </c>
      <c r="G423" s="140">
        <v>46</v>
      </c>
      <c r="H423" s="141"/>
      <c r="I423" s="142"/>
      <c r="J423" s="142"/>
    </row>
    <row r="424" spans="2:10" x14ac:dyDescent="0.2">
      <c r="B424" s="143">
        <f t="shared" si="6"/>
        <v>17</v>
      </c>
      <c r="C424" s="138" t="str">
        <f>TEXT(Таблица8[[#This Row],[Дата]],"М")</f>
        <v>4</v>
      </c>
      <c r="D424" s="144">
        <v>44673</v>
      </c>
      <c r="E424" s="143" t="s">
        <v>20</v>
      </c>
      <c r="F424" s="143" t="s">
        <v>99</v>
      </c>
      <c r="G424" s="147">
        <v>196</v>
      </c>
      <c r="H424" s="146"/>
      <c r="I424" s="142"/>
      <c r="J424" s="142"/>
    </row>
    <row r="425" spans="2:10" x14ac:dyDescent="0.2">
      <c r="B425" s="143">
        <f t="shared" si="6"/>
        <v>17</v>
      </c>
      <c r="C425" s="138" t="str">
        <f>TEXT(Таблица8[[#This Row],[Дата]],"М")</f>
        <v>4</v>
      </c>
      <c r="D425" s="144">
        <v>44673</v>
      </c>
      <c r="E425" s="143" t="s">
        <v>71</v>
      </c>
      <c r="F425" s="143" t="s">
        <v>94</v>
      </c>
      <c r="G425" s="147">
        <v>32</v>
      </c>
      <c r="H425" s="146"/>
      <c r="I425" s="142"/>
      <c r="J425" s="142"/>
    </row>
    <row r="426" spans="2:10" x14ac:dyDescent="0.2">
      <c r="B426" s="143">
        <f t="shared" si="6"/>
        <v>17</v>
      </c>
      <c r="C426" s="138" t="str">
        <f>TEXT(Таблица8[[#This Row],[Дата]],"М")</f>
        <v>4</v>
      </c>
      <c r="D426" s="144">
        <v>44673</v>
      </c>
      <c r="E426" s="143" t="s">
        <v>19</v>
      </c>
      <c r="F426" s="143" t="s">
        <v>96</v>
      </c>
      <c r="G426" s="147">
        <f>180+107+73</f>
        <v>360</v>
      </c>
      <c r="H426" s="146"/>
      <c r="I426" s="142"/>
      <c r="J426" s="142"/>
    </row>
    <row r="427" spans="2:10" x14ac:dyDescent="0.2">
      <c r="B427" s="143">
        <f t="shared" si="6"/>
        <v>17</v>
      </c>
      <c r="C427" s="138" t="str">
        <f>TEXT(Таблица8[[#This Row],[Дата]],"М")</f>
        <v>4</v>
      </c>
      <c r="D427" s="144">
        <v>44673</v>
      </c>
      <c r="E427" s="143" t="s">
        <v>30</v>
      </c>
      <c r="F427" s="143" t="s">
        <v>92</v>
      </c>
      <c r="G427" s="147">
        <f>650</f>
        <v>650</v>
      </c>
      <c r="H427" s="146"/>
      <c r="I427" s="142"/>
      <c r="J427" s="142"/>
    </row>
    <row r="428" spans="2:10" x14ac:dyDescent="0.2">
      <c r="B428" s="143">
        <f t="shared" si="6"/>
        <v>17</v>
      </c>
      <c r="C428" s="138" t="str">
        <f>TEXT(Таблица8[[#This Row],[Дата]],"М")</f>
        <v>4</v>
      </c>
      <c r="D428" s="144">
        <v>44673</v>
      </c>
      <c r="E428" s="143" t="s">
        <v>71</v>
      </c>
      <c r="F428" s="143" t="s">
        <v>91</v>
      </c>
      <c r="G428" s="147">
        <v>105</v>
      </c>
      <c r="H428" s="146"/>
      <c r="I428" s="142"/>
      <c r="J428" s="142"/>
    </row>
    <row r="429" spans="2:10" x14ac:dyDescent="0.2">
      <c r="B429" s="137">
        <f t="shared" si="6"/>
        <v>17</v>
      </c>
      <c r="C429" s="138" t="str">
        <f>TEXT(Таблица8[[#This Row],[Дата]],"М")</f>
        <v>4</v>
      </c>
      <c r="D429" s="139">
        <v>44674</v>
      </c>
      <c r="E429" s="137" t="s">
        <v>30</v>
      </c>
      <c r="F429" s="137" t="s">
        <v>92</v>
      </c>
      <c r="G429" s="140">
        <f>299+129+159</f>
        <v>587</v>
      </c>
      <c r="H429" s="141"/>
      <c r="I429" s="142"/>
      <c r="J429" s="142"/>
    </row>
    <row r="430" spans="2:10" x14ac:dyDescent="0.2">
      <c r="B430" s="143">
        <f t="shared" si="6"/>
        <v>17</v>
      </c>
      <c r="C430" s="138" t="str">
        <f>TEXT(Таблица8[[#This Row],[Дата]],"М")</f>
        <v>4</v>
      </c>
      <c r="D430" s="144">
        <v>44674</v>
      </c>
      <c r="E430" s="143" t="s">
        <v>71</v>
      </c>
      <c r="F430" s="143" t="s">
        <v>91</v>
      </c>
      <c r="G430" s="147">
        <f>11+115+158</f>
        <v>284</v>
      </c>
      <c r="H430" s="146"/>
      <c r="I430" s="142"/>
      <c r="J430" s="142"/>
    </row>
    <row r="431" spans="2:10" x14ac:dyDescent="0.2">
      <c r="B431" s="143">
        <f t="shared" si="6"/>
        <v>17</v>
      </c>
      <c r="C431" s="138" t="str">
        <f>TEXT(Таблица8[[#This Row],[Дата]],"М")</f>
        <v>4</v>
      </c>
      <c r="D431" s="144">
        <v>44674</v>
      </c>
      <c r="E431" s="143" t="s">
        <v>29</v>
      </c>
      <c r="F431" s="143" t="s">
        <v>107</v>
      </c>
      <c r="G431" s="147">
        <v>230</v>
      </c>
      <c r="H431" s="146"/>
      <c r="I431" s="142"/>
      <c r="J431" s="142"/>
    </row>
    <row r="432" spans="2:10" x14ac:dyDescent="0.2">
      <c r="B432" s="143">
        <f t="shared" si="6"/>
        <v>17</v>
      </c>
      <c r="C432" s="138" t="str">
        <f>TEXT(Таблица8[[#This Row],[Дата]],"М")</f>
        <v>4</v>
      </c>
      <c r="D432" s="144">
        <v>44674</v>
      </c>
      <c r="E432" s="143" t="s">
        <v>29</v>
      </c>
      <c r="F432" s="143" t="s">
        <v>105</v>
      </c>
      <c r="G432" s="147">
        <v>200</v>
      </c>
      <c r="H432" s="146"/>
      <c r="I432" s="142"/>
      <c r="J432" s="142"/>
    </row>
    <row r="433" spans="2:10" x14ac:dyDescent="0.2">
      <c r="B433" s="143">
        <f t="shared" si="6"/>
        <v>17</v>
      </c>
      <c r="C433" s="138" t="str">
        <f>TEXT(Таблица8[[#This Row],[Дата]],"М")</f>
        <v>4</v>
      </c>
      <c r="D433" s="144">
        <v>44674</v>
      </c>
      <c r="E433" s="143" t="s">
        <v>71</v>
      </c>
      <c r="F433" s="143" t="s">
        <v>94</v>
      </c>
      <c r="G433" s="147">
        <f>32*4</f>
        <v>128</v>
      </c>
      <c r="H433" s="146"/>
      <c r="I433" s="142"/>
      <c r="J433" s="142"/>
    </row>
    <row r="434" spans="2:10" x14ac:dyDescent="0.2">
      <c r="B434" s="143">
        <f t="shared" si="6"/>
        <v>17</v>
      </c>
      <c r="C434" s="138" t="str">
        <f>TEXT(Таблица8[[#This Row],[Дата]],"М")</f>
        <v>4</v>
      </c>
      <c r="D434" s="144">
        <v>44674</v>
      </c>
      <c r="E434" s="143" t="s">
        <v>20</v>
      </c>
      <c r="F434" s="143" t="s">
        <v>95</v>
      </c>
      <c r="G434" s="147">
        <v>203</v>
      </c>
      <c r="H434" s="146"/>
      <c r="I434" s="142"/>
      <c r="J434" s="142"/>
    </row>
    <row r="435" spans="2:10" x14ac:dyDescent="0.2">
      <c r="B435" s="143">
        <f t="shared" si="6"/>
        <v>17</v>
      </c>
      <c r="C435" s="138" t="str">
        <f>TEXT(Таблица8[[#This Row],[Дата]],"М")</f>
        <v>4</v>
      </c>
      <c r="D435" s="144">
        <v>44674</v>
      </c>
      <c r="E435" s="143" t="s">
        <v>72</v>
      </c>
      <c r="F435" s="143" t="s">
        <v>43</v>
      </c>
      <c r="G435" s="147">
        <v>48</v>
      </c>
      <c r="H435" s="146"/>
      <c r="I435" s="142"/>
      <c r="J435" s="142"/>
    </row>
    <row r="436" spans="2:10" x14ac:dyDescent="0.2">
      <c r="B436" s="137">
        <f t="shared" si="6"/>
        <v>18</v>
      </c>
      <c r="C436" s="138" t="str">
        <f>TEXT(Таблица8[[#This Row],[Дата]],"М")</f>
        <v>4</v>
      </c>
      <c r="D436" s="139">
        <v>44675</v>
      </c>
      <c r="E436" s="137" t="s">
        <v>71</v>
      </c>
      <c r="F436" s="137" t="s">
        <v>91</v>
      </c>
      <c r="G436" s="140">
        <v>16</v>
      </c>
      <c r="H436" s="141"/>
      <c r="I436" s="142"/>
      <c r="J436" s="142"/>
    </row>
    <row r="437" spans="2:10" x14ac:dyDescent="0.2">
      <c r="B437" s="143">
        <f t="shared" si="6"/>
        <v>18</v>
      </c>
      <c r="C437" s="138" t="str">
        <f>TEXT(Таблица8[[#This Row],[Дата]],"М")</f>
        <v>4</v>
      </c>
      <c r="D437" s="144">
        <v>44675</v>
      </c>
      <c r="E437" s="143" t="s">
        <v>71</v>
      </c>
      <c r="F437" s="143" t="s">
        <v>94</v>
      </c>
      <c r="G437" s="147">
        <v>32</v>
      </c>
      <c r="H437" s="146"/>
      <c r="I437" s="142"/>
      <c r="J437" s="142"/>
    </row>
    <row r="438" spans="2:10" x14ac:dyDescent="0.2">
      <c r="B438" s="143">
        <f t="shared" si="6"/>
        <v>18</v>
      </c>
      <c r="C438" s="138" t="str">
        <f>TEXT(Таблица8[[#This Row],[Дата]],"М")</f>
        <v>4</v>
      </c>
      <c r="D438" s="144">
        <v>44675</v>
      </c>
      <c r="E438" s="143" t="s">
        <v>19</v>
      </c>
      <c r="F438" s="143" t="s">
        <v>96</v>
      </c>
      <c r="G438" s="147">
        <f>148+160+77+81</f>
        <v>466</v>
      </c>
      <c r="H438" s="146"/>
      <c r="I438" s="142"/>
      <c r="J438" s="142"/>
    </row>
    <row r="439" spans="2:10" x14ac:dyDescent="0.2">
      <c r="B439" s="137">
        <f t="shared" si="6"/>
        <v>18</v>
      </c>
      <c r="C439" s="138" t="str">
        <f>TEXT(Таблица8[[#This Row],[Дата]],"М")</f>
        <v>4</v>
      </c>
      <c r="D439" s="139">
        <v>44676</v>
      </c>
      <c r="E439" s="137" t="s">
        <v>20</v>
      </c>
      <c r="F439" s="137" t="s">
        <v>99</v>
      </c>
      <c r="G439" s="140">
        <f>127+45</f>
        <v>172</v>
      </c>
      <c r="H439" s="141"/>
      <c r="I439" s="142"/>
      <c r="J439" s="142"/>
    </row>
    <row r="440" spans="2:10" x14ac:dyDescent="0.2">
      <c r="B440" s="143">
        <f t="shared" si="6"/>
        <v>18</v>
      </c>
      <c r="C440" s="138" t="str">
        <f>TEXT(Таблица8[[#This Row],[Дата]],"М")</f>
        <v>4</v>
      </c>
      <c r="D440" s="144">
        <v>44676</v>
      </c>
      <c r="E440" s="143" t="s">
        <v>72</v>
      </c>
      <c r="F440" s="143" t="s">
        <v>43</v>
      </c>
      <c r="G440" s="147">
        <v>52</v>
      </c>
      <c r="H440" s="146"/>
      <c r="I440" s="142"/>
      <c r="J440" s="142"/>
    </row>
    <row r="441" spans="2:10" x14ac:dyDescent="0.2">
      <c r="B441" s="137">
        <f t="shared" si="6"/>
        <v>18</v>
      </c>
      <c r="C441" s="138" t="str">
        <f>TEXT(Таблица8[[#This Row],[Дата]],"М")</f>
        <v>4</v>
      </c>
      <c r="D441" s="139">
        <v>44677</v>
      </c>
      <c r="E441" s="137" t="s">
        <v>72</v>
      </c>
      <c r="F441" s="137" t="s">
        <v>43</v>
      </c>
      <c r="G441" s="140">
        <v>54</v>
      </c>
      <c r="H441" s="141"/>
      <c r="I441" s="142"/>
      <c r="J441" s="142"/>
    </row>
    <row r="442" spans="2:10" ht="16.5" customHeight="1" x14ac:dyDescent="0.2">
      <c r="B442" s="143">
        <f t="shared" si="6"/>
        <v>18</v>
      </c>
      <c r="C442" s="138" t="str">
        <f>TEXT(Таблица8[[#This Row],[Дата]],"М")</f>
        <v>4</v>
      </c>
      <c r="D442" s="144">
        <v>44677</v>
      </c>
      <c r="E442" s="143" t="s">
        <v>20</v>
      </c>
      <c r="F442" s="143" t="s">
        <v>99</v>
      </c>
      <c r="G442" s="147">
        <f>175</f>
        <v>175</v>
      </c>
      <c r="H442" s="146"/>
      <c r="I442" s="142"/>
      <c r="J442" s="142"/>
    </row>
    <row r="443" spans="2:10" x14ac:dyDescent="0.2">
      <c r="B443" s="143">
        <f t="shared" si="6"/>
        <v>18</v>
      </c>
      <c r="C443" s="138" t="str">
        <f>TEXT(Таблица8[[#This Row],[Дата]],"М")</f>
        <v>4</v>
      </c>
      <c r="D443" s="144">
        <v>44677</v>
      </c>
      <c r="E443" s="143" t="s">
        <v>19</v>
      </c>
      <c r="F443" s="143" t="s">
        <v>96</v>
      </c>
      <c r="G443" s="147">
        <v>46</v>
      </c>
      <c r="H443" s="146"/>
      <c r="I443" s="142"/>
      <c r="J443" s="142"/>
    </row>
    <row r="444" spans="2:10" x14ac:dyDescent="0.2">
      <c r="B444" s="137">
        <f t="shared" si="6"/>
        <v>18</v>
      </c>
      <c r="C444" s="138" t="str">
        <f>TEXT(Таблица8[[#This Row],[Дата]],"М")</f>
        <v>4</v>
      </c>
      <c r="D444" s="139">
        <v>44678</v>
      </c>
      <c r="E444" s="137" t="s">
        <v>72</v>
      </c>
      <c r="F444" s="137" t="s">
        <v>43</v>
      </c>
      <c r="G444" s="140">
        <v>56</v>
      </c>
      <c r="H444" s="141"/>
      <c r="I444" s="142"/>
      <c r="J444" s="142"/>
    </row>
    <row r="445" spans="2:10" x14ac:dyDescent="0.2">
      <c r="B445" s="143">
        <f t="shared" si="6"/>
        <v>18</v>
      </c>
      <c r="C445" s="138" t="str">
        <f>TEXT(Таблица8[[#This Row],[Дата]],"М")</f>
        <v>4</v>
      </c>
      <c r="D445" s="144">
        <v>44678</v>
      </c>
      <c r="E445" s="143" t="s">
        <v>20</v>
      </c>
      <c r="F445" s="143" t="s">
        <v>99</v>
      </c>
      <c r="G445" s="147">
        <f>143+99-42</f>
        <v>200</v>
      </c>
      <c r="H445" s="146"/>
      <c r="I445" s="142"/>
      <c r="J445" s="142"/>
    </row>
    <row r="446" spans="2:10" x14ac:dyDescent="0.2">
      <c r="B446" s="143">
        <f t="shared" si="6"/>
        <v>18</v>
      </c>
      <c r="C446" s="138" t="str">
        <f>TEXT(Таблица8[[#This Row],[Дата]],"М")</f>
        <v>4</v>
      </c>
      <c r="D446" s="144">
        <v>44678</v>
      </c>
      <c r="E446" s="143" t="s">
        <v>19</v>
      </c>
      <c r="F446" s="143" t="s">
        <v>96</v>
      </c>
      <c r="G446" s="147">
        <v>319</v>
      </c>
      <c r="H446" s="146"/>
      <c r="I446" s="142"/>
      <c r="J446" s="142"/>
    </row>
    <row r="447" spans="2:10" x14ac:dyDescent="0.2">
      <c r="B447" s="137">
        <f t="shared" ref="B447:B510" si="7">WEEKNUM(D447)</f>
        <v>18</v>
      </c>
      <c r="C447" s="138" t="str">
        <f>TEXT(Таблица8[[#This Row],[Дата]],"М")</f>
        <v>4</v>
      </c>
      <c r="D447" s="139">
        <v>44679</v>
      </c>
      <c r="E447" s="137" t="s">
        <v>72</v>
      </c>
      <c r="F447" s="137" t="s">
        <v>43</v>
      </c>
      <c r="G447" s="140">
        <v>58</v>
      </c>
      <c r="H447" s="141"/>
      <c r="I447" s="142"/>
      <c r="J447" s="142"/>
    </row>
    <row r="448" spans="2:10" x14ac:dyDescent="0.2">
      <c r="B448" s="143">
        <f t="shared" si="7"/>
        <v>18</v>
      </c>
      <c r="C448" s="138" t="str">
        <f>TEXT(Таблица8[[#This Row],[Дата]],"М")</f>
        <v>4</v>
      </c>
      <c r="D448" s="144">
        <v>44679</v>
      </c>
      <c r="E448" s="143" t="s">
        <v>20</v>
      </c>
      <c r="F448" s="143" t="s">
        <v>99</v>
      </c>
      <c r="G448" s="147">
        <f>98+28</f>
        <v>126</v>
      </c>
      <c r="H448" s="146"/>
      <c r="I448" s="142"/>
      <c r="J448" s="142"/>
    </row>
    <row r="449" spans="2:11" x14ac:dyDescent="0.2">
      <c r="B449" s="143">
        <f t="shared" si="7"/>
        <v>18</v>
      </c>
      <c r="C449" s="138" t="str">
        <f>TEXT(Таблица8[[#This Row],[Дата]],"М")</f>
        <v>4</v>
      </c>
      <c r="D449" s="144">
        <v>44679</v>
      </c>
      <c r="E449" s="143" t="s">
        <v>19</v>
      </c>
      <c r="F449" s="143" t="s">
        <v>96</v>
      </c>
      <c r="G449" s="147">
        <v>47</v>
      </c>
      <c r="H449" s="146"/>
      <c r="I449" s="142"/>
      <c r="J449" s="142"/>
    </row>
    <row r="450" spans="2:11" x14ac:dyDescent="0.2">
      <c r="B450" s="137">
        <f t="shared" si="7"/>
        <v>18</v>
      </c>
      <c r="C450" s="138" t="str">
        <f>TEXT(Таблица8[[#This Row],[Дата]],"М")</f>
        <v>4</v>
      </c>
      <c r="D450" s="139">
        <v>44680</v>
      </c>
      <c r="E450" s="137" t="s">
        <v>72</v>
      </c>
      <c r="F450" s="137" t="s">
        <v>43</v>
      </c>
      <c r="G450" s="140">
        <v>60</v>
      </c>
      <c r="H450" s="141"/>
      <c r="I450" s="142"/>
      <c r="J450" s="142"/>
    </row>
    <row r="451" spans="2:11" x14ac:dyDescent="0.2">
      <c r="B451" s="143">
        <f t="shared" si="7"/>
        <v>18</v>
      </c>
      <c r="C451" s="138" t="str">
        <f>TEXT(Таблица8[[#This Row],[Дата]],"М")</f>
        <v>4</v>
      </c>
      <c r="D451" s="144">
        <v>44680</v>
      </c>
      <c r="E451" s="143" t="s">
        <v>71</v>
      </c>
      <c r="F451" s="143" t="s">
        <v>94</v>
      </c>
      <c r="G451" s="147">
        <v>32</v>
      </c>
      <c r="H451" s="146"/>
      <c r="I451" s="142"/>
      <c r="J451" s="142"/>
      <c r="K451" s="166"/>
    </row>
    <row r="452" spans="2:11" x14ac:dyDescent="0.2">
      <c r="B452" s="143">
        <f t="shared" si="7"/>
        <v>18</v>
      </c>
      <c r="C452" s="138" t="str">
        <f>TEXT(Таблица8[[#This Row],[Дата]],"М")</f>
        <v>4</v>
      </c>
      <c r="D452" s="144">
        <v>44680</v>
      </c>
      <c r="E452" s="143" t="s">
        <v>20</v>
      </c>
      <c r="F452" s="143" t="s">
        <v>99</v>
      </c>
      <c r="G452" s="147">
        <f>330-180</f>
        <v>150</v>
      </c>
      <c r="H452" s="146"/>
      <c r="I452" s="142"/>
      <c r="J452" s="142"/>
    </row>
    <row r="453" spans="2:11" x14ac:dyDescent="0.2">
      <c r="B453" s="143">
        <f t="shared" si="7"/>
        <v>18</v>
      </c>
      <c r="C453" s="138" t="str">
        <f>TEXT(Таблица8[[#This Row],[Дата]],"М")</f>
        <v>4</v>
      </c>
      <c r="D453" s="144">
        <v>44680</v>
      </c>
      <c r="E453" s="143" t="s">
        <v>19</v>
      </c>
      <c r="F453" s="143" t="s">
        <v>96</v>
      </c>
      <c r="G453" s="147">
        <v>853</v>
      </c>
      <c r="H453" s="146"/>
      <c r="I453" s="142"/>
      <c r="J453" s="142"/>
    </row>
    <row r="454" spans="2:11" x14ac:dyDescent="0.2">
      <c r="B454" s="137">
        <f t="shared" si="7"/>
        <v>18</v>
      </c>
      <c r="C454" s="138" t="str">
        <f>TEXT(Таблица8[[#This Row],[Дата]],"М")</f>
        <v>4</v>
      </c>
      <c r="D454" s="139">
        <v>44681</v>
      </c>
      <c r="E454" s="137" t="s">
        <v>72</v>
      </c>
      <c r="F454" s="137" t="s">
        <v>43</v>
      </c>
      <c r="G454" s="140">
        <v>62</v>
      </c>
      <c r="H454" s="141"/>
      <c r="I454" s="142"/>
      <c r="J454" s="142"/>
    </row>
    <row r="455" spans="2:11" x14ac:dyDescent="0.2">
      <c r="B455" s="143">
        <f t="shared" si="7"/>
        <v>18</v>
      </c>
      <c r="C455" s="138" t="str">
        <f>TEXT(Таблица8[[#This Row],[Дата]],"М")</f>
        <v>4</v>
      </c>
      <c r="D455" s="144">
        <v>44681</v>
      </c>
      <c r="E455" s="143" t="s">
        <v>22</v>
      </c>
      <c r="F455" s="143" t="s">
        <v>38</v>
      </c>
      <c r="G455" s="147">
        <f>1658/2</f>
        <v>829</v>
      </c>
      <c r="H455" s="146"/>
      <c r="I455" s="142"/>
      <c r="J455" s="142"/>
    </row>
    <row r="456" spans="2:11" x14ac:dyDescent="0.2">
      <c r="B456" s="143">
        <f t="shared" si="7"/>
        <v>18</v>
      </c>
      <c r="C456" s="138" t="str">
        <f>TEXT(Таблица8[[#This Row],[Дата]],"М")</f>
        <v>4</v>
      </c>
      <c r="D456" s="144">
        <v>44681</v>
      </c>
      <c r="E456" s="143" t="s">
        <v>72</v>
      </c>
      <c r="F456" s="143" t="s">
        <v>44</v>
      </c>
      <c r="G456" s="147">
        <v>300</v>
      </c>
      <c r="H456" s="146"/>
      <c r="I456" s="142"/>
      <c r="J456" s="142"/>
    </row>
    <row r="457" spans="2:11" ht="17.25" customHeight="1" x14ac:dyDescent="0.2">
      <c r="B457" s="143">
        <f t="shared" si="7"/>
        <v>18</v>
      </c>
      <c r="C457" s="138" t="str">
        <f>TEXT(Таблица8[[#This Row],[Дата]],"М")</f>
        <v>4</v>
      </c>
      <c r="D457" s="144">
        <v>44681</v>
      </c>
      <c r="E457" s="143" t="s">
        <v>72</v>
      </c>
      <c r="F457" s="143" t="s">
        <v>45</v>
      </c>
      <c r="G457" s="147">
        <v>250</v>
      </c>
      <c r="H457" s="146"/>
      <c r="I457" s="142"/>
      <c r="J457" s="142"/>
    </row>
    <row r="458" spans="2:11" x14ac:dyDescent="0.2">
      <c r="B458" s="143">
        <f t="shared" si="7"/>
        <v>18</v>
      </c>
      <c r="C458" s="138" t="str">
        <f>TEXT(Таблица8[[#This Row],[Дата]],"М")</f>
        <v>4</v>
      </c>
      <c r="D458" s="144">
        <v>44681</v>
      </c>
      <c r="E458" s="143" t="s">
        <v>72</v>
      </c>
      <c r="F458" s="143" t="s">
        <v>40</v>
      </c>
      <c r="G458" s="147">
        <v>400</v>
      </c>
      <c r="H458" s="146"/>
      <c r="I458" s="142"/>
      <c r="J458" s="142"/>
    </row>
    <row r="459" spans="2:11" x14ac:dyDescent="0.2">
      <c r="B459" s="143">
        <f t="shared" si="7"/>
        <v>18</v>
      </c>
      <c r="C459" s="138" t="str">
        <f>TEXT(Таблица8[[#This Row],[Дата]],"М")</f>
        <v>4</v>
      </c>
      <c r="D459" s="144">
        <v>44681</v>
      </c>
      <c r="E459" s="143" t="s">
        <v>71</v>
      </c>
      <c r="F459" s="143" t="s">
        <v>94</v>
      </c>
      <c r="G459" s="147">
        <f>64</f>
        <v>64</v>
      </c>
      <c r="H459" s="146"/>
      <c r="I459" s="142"/>
      <c r="J459" s="142"/>
    </row>
    <row r="460" spans="2:11" x14ac:dyDescent="0.2">
      <c r="B460" s="143">
        <f t="shared" si="7"/>
        <v>18</v>
      </c>
      <c r="C460" s="138" t="str">
        <f>TEXT(Таблица8[[#This Row],[Дата]],"М")</f>
        <v>4</v>
      </c>
      <c r="D460" s="144">
        <v>44681</v>
      </c>
      <c r="E460" s="143" t="s">
        <v>30</v>
      </c>
      <c r="F460" s="143" t="s">
        <v>92</v>
      </c>
      <c r="G460" s="147">
        <f>326+374-300</f>
        <v>400</v>
      </c>
      <c r="H460" s="146"/>
      <c r="I460" s="142"/>
      <c r="J460" s="142"/>
    </row>
    <row r="461" spans="2:11" x14ac:dyDescent="0.2">
      <c r="B461" s="143">
        <f t="shared" si="7"/>
        <v>18</v>
      </c>
      <c r="C461" s="138" t="str">
        <f>TEXT(Таблица8[[#This Row],[Дата]],"М")</f>
        <v>4</v>
      </c>
      <c r="D461" s="144">
        <v>44681</v>
      </c>
      <c r="E461" s="143" t="s">
        <v>20</v>
      </c>
      <c r="F461" s="143" t="s">
        <v>118</v>
      </c>
      <c r="G461" s="147">
        <v>110</v>
      </c>
      <c r="H461" s="146"/>
      <c r="I461" s="142"/>
      <c r="J461" s="142"/>
    </row>
    <row r="462" spans="2:11" x14ac:dyDescent="0.2">
      <c r="B462" s="137">
        <f t="shared" si="7"/>
        <v>19</v>
      </c>
      <c r="C462" s="138" t="str">
        <f>TEXT(Таблица8[[#This Row],[Дата]],"М")</f>
        <v>5</v>
      </c>
      <c r="D462" s="139">
        <v>44682</v>
      </c>
      <c r="E462" s="137" t="s">
        <v>72</v>
      </c>
      <c r="F462" s="137" t="s">
        <v>43</v>
      </c>
      <c r="G462" s="140">
        <v>64</v>
      </c>
      <c r="H462" s="141"/>
      <c r="I462" s="142"/>
      <c r="J462" s="142"/>
    </row>
    <row r="463" spans="2:11" x14ac:dyDescent="0.2">
      <c r="B463" s="143">
        <f t="shared" si="7"/>
        <v>19</v>
      </c>
      <c r="C463" s="138" t="str">
        <f>TEXT(Таблица8[[#This Row],[Дата]],"М")</f>
        <v>5</v>
      </c>
      <c r="D463" s="144">
        <v>44682</v>
      </c>
      <c r="E463" s="143" t="s">
        <v>20</v>
      </c>
      <c r="F463" s="143" t="s">
        <v>97</v>
      </c>
      <c r="G463" s="147">
        <v>159</v>
      </c>
      <c r="H463" s="146"/>
      <c r="I463" s="142"/>
      <c r="J463" s="142"/>
    </row>
    <row r="464" spans="2:11" x14ac:dyDescent="0.2">
      <c r="B464" s="143">
        <f t="shared" si="7"/>
        <v>19</v>
      </c>
      <c r="C464" s="138" t="str">
        <f>TEXT(Таблица8[[#This Row],[Дата]],"М")</f>
        <v>5</v>
      </c>
      <c r="D464" s="144">
        <v>44682</v>
      </c>
      <c r="E464" s="143" t="s">
        <v>30</v>
      </c>
      <c r="F464" s="143" t="s">
        <v>92</v>
      </c>
      <c r="G464" s="147">
        <f>120+280</f>
        <v>400</v>
      </c>
      <c r="H464" s="146"/>
      <c r="I464" s="142"/>
      <c r="J464" s="142"/>
    </row>
    <row r="465" spans="2:10" x14ac:dyDescent="0.2">
      <c r="B465" s="137">
        <f t="shared" si="7"/>
        <v>19</v>
      </c>
      <c r="C465" s="138" t="str">
        <f>TEXT(Таблица8[[#This Row],[Дата]],"М")</f>
        <v>5</v>
      </c>
      <c r="D465" s="139">
        <v>44683</v>
      </c>
      <c r="E465" s="137" t="s">
        <v>71</v>
      </c>
      <c r="F465" s="137" t="s">
        <v>115</v>
      </c>
      <c r="G465" s="140">
        <v>276</v>
      </c>
      <c r="H465" s="141"/>
      <c r="I465" s="142"/>
      <c r="J465" s="142"/>
    </row>
    <row r="466" spans="2:10" x14ac:dyDescent="0.2">
      <c r="B466" s="143">
        <f t="shared" si="7"/>
        <v>19</v>
      </c>
      <c r="C466" s="138" t="str">
        <f>TEXT(Таблица8[[#This Row],[Дата]],"М")</f>
        <v>5</v>
      </c>
      <c r="D466" s="144">
        <v>44683</v>
      </c>
      <c r="E466" s="143" t="s">
        <v>20</v>
      </c>
      <c r="F466" s="143" t="s">
        <v>95</v>
      </c>
      <c r="G466" s="147">
        <v>20</v>
      </c>
      <c r="H466" s="146"/>
      <c r="I466" s="142"/>
      <c r="J466" s="142"/>
    </row>
    <row r="467" spans="2:10" x14ac:dyDescent="0.2">
      <c r="B467" s="143">
        <f t="shared" si="7"/>
        <v>19</v>
      </c>
      <c r="C467" s="138" t="str">
        <f>TEXT(Таблица8[[#This Row],[Дата]],"М")</f>
        <v>5</v>
      </c>
      <c r="D467" s="144">
        <v>44683</v>
      </c>
      <c r="E467" s="143" t="s">
        <v>71</v>
      </c>
      <c r="F467" s="143" t="s">
        <v>91</v>
      </c>
      <c r="G467" s="147">
        <v>110</v>
      </c>
      <c r="H467" s="146"/>
      <c r="I467" s="142"/>
      <c r="J467" s="142"/>
    </row>
    <row r="468" spans="2:10" x14ac:dyDescent="0.2">
      <c r="B468" s="143">
        <f t="shared" si="7"/>
        <v>19</v>
      </c>
      <c r="C468" s="138" t="str">
        <f>TEXT(Таблица8[[#This Row],[Дата]],"М")</f>
        <v>5</v>
      </c>
      <c r="D468" s="144">
        <v>44683</v>
      </c>
      <c r="E468" s="143" t="s">
        <v>22</v>
      </c>
      <c r="F468" s="143" t="s">
        <v>38</v>
      </c>
      <c r="G468" s="147">
        <f>308+250</f>
        <v>558</v>
      </c>
      <c r="H468" s="146"/>
      <c r="I468" s="142"/>
      <c r="J468" s="142"/>
    </row>
    <row r="469" spans="2:10" x14ac:dyDescent="0.2">
      <c r="B469" s="143">
        <f t="shared" si="7"/>
        <v>19</v>
      </c>
      <c r="C469" s="138" t="str">
        <f>TEXT(Таблица8[[#This Row],[Дата]],"М")</f>
        <v>5</v>
      </c>
      <c r="D469" s="144">
        <v>44683</v>
      </c>
      <c r="E469" s="143" t="s">
        <v>71</v>
      </c>
      <c r="F469" s="143" t="s">
        <v>94</v>
      </c>
      <c r="G469" s="147">
        <v>32</v>
      </c>
      <c r="H469" s="146"/>
      <c r="I469" s="142"/>
      <c r="J469" s="142"/>
    </row>
    <row r="470" spans="2:10" x14ac:dyDescent="0.2">
      <c r="B470" s="143">
        <f t="shared" si="7"/>
        <v>19</v>
      </c>
      <c r="C470" s="138" t="str">
        <f>TEXT(Таблица8[[#This Row],[Дата]],"М")</f>
        <v>5</v>
      </c>
      <c r="D470" s="144">
        <v>44683</v>
      </c>
      <c r="E470" s="143" t="s">
        <v>72</v>
      </c>
      <c r="F470" s="143" t="s">
        <v>43</v>
      </c>
      <c r="G470" s="147">
        <v>66</v>
      </c>
      <c r="H470" s="146"/>
      <c r="I470" s="142"/>
      <c r="J470" s="142"/>
    </row>
    <row r="471" spans="2:10" x14ac:dyDescent="0.2">
      <c r="B471" s="137">
        <f t="shared" si="7"/>
        <v>19</v>
      </c>
      <c r="C471" s="138" t="str">
        <f>TEXT(Таблица8[[#This Row],[Дата]],"М")</f>
        <v>5</v>
      </c>
      <c r="D471" s="139">
        <v>44684</v>
      </c>
      <c r="E471" s="137" t="s">
        <v>72</v>
      </c>
      <c r="F471" s="137" t="s">
        <v>43</v>
      </c>
      <c r="G471" s="140">
        <v>68</v>
      </c>
      <c r="H471" s="141"/>
      <c r="I471" s="142"/>
      <c r="J471" s="142"/>
    </row>
    <row r="472" spans="2:10" x14ac:dyDescent="0.2">
      <c r="B472" s="143">
        <f t="shared" si="7"/>
        <v>19</v>
      </c>
      <c r="C472" s="138" t="str">
        <f>TEXT(Таблица8[[#This Row],[Дата]],"М")</f>
        <v>5</v>
      </c>
      <c r="D472" s="144">
        <v>44684</v>
      </c>
      <c r="E472" s="143" t="s">
        <v>71</v>
      </c>
      <c r="F472" s="143" t="s">
        <v>94</v>
      </c>
      <c r="G472" s="147">
        <v>32</v>
      </c>
      <c r="H472" s="146"/>
      <c r="I472" s="142"/>
      <c r="J472" s="142"/>
    </row>
    <row r="473" spans="2:10" x14ac:dyDescent="0.2">
      <c r="B473" s="143">
        <f t="shared" si="7"/>
        <v>19</v>
      </c>
      <c r="C473" s="138" t="str">
        <f>TEXT(Таблица8[[#This Row],[Дата]],"М")</f>
        <v>5</v>
      </c>
      <c r="D473" s="144">
        <v>44684</v>
      </c>
      <c r="E473" s="143" t="s">
        <v>20</v>
      </c>
      <c r="F473" s="143" t="s">
        <v>118</v>
      </c>
      <c r="G473" s="147">
        <v>159</v>
      </c>
      <c r="H473" s="146"/>
      <c r="I473" s="142"/>
      <c r="J473" s="142"/>
    </row>
    <row r="474" spans="2:10" x14ac:dyDescent="0.2">
      <c r="B474" s="143">
        <f t="shared" si="7"/>
        <v>19</v>
      </c>
      <c r="C474" s="138" t="str">
        <f>TEXT(Таблица8[[#This Row],[Дата]],"М")</f>
        <v>5</v>
      </c>
      <c r="D474" s="144">
        <v>44684</v>
      </c>
      <c r="E474" s="143" t="s">
        <v>19</v>
      </c>
      <c r="F474" s="143" t="s">
        <v>96</v>
      </c>
      <c r="G474" s="147">
        <f>257+43</f>
        <v>300</v>
      </c>
      <c r="H474" s="146"/>
      <c r="I474" s="142"/>
      <c r="J474" s="142"/>
    </row>
    <row r="475" spans="2:10" x14ac:dyDescent="0.2">
      <c r="B475" s="137">
        <f t="shared" si="7"/>
        <v>19</v>
      </c>
      <c r="C475" s="138" t="str">
        <f>TEXT(Таблица8[[#This Row],[Дата]],"М")</f>
        <v>5</v>
      </c>
      <c r="D475" s="139">
        <v>44685</v>
      </c>
      <c r="E475" s="137" t="s">
        <v>72</v>
      </c>
      <c r="F475" s="137" t="s">
        <v>43</v>
      </c>
      <c r="G475" s="140">
        <v>70</v>
      </c>
      <c r="H475" s="141"/>
      <c r="I475" s="142"/>
      <c r="J475" s="142"/>
    </row>
    <row r="476" spans="2:10" x14ac:dyDescent="0.2">
      <c r="B476" s="143">
        <f t="shared" si="7"/>
        <v>19</v>
      </c>
      <c r="C476" s="138" t="str">
        <f>TEXT(Таблица8[[#This Row],[Дата]],"М")</f>
        <v>5</v>
      </c>
      <c r="D476" s="144">
        <v>44685</v>
      </c>
      <c r="E476" s="143" t="s">
        <v>20</v>
      </c>
      <c r="F476" s="143" t="s">
        <v>99</v>
      </c>
      <c r="G476" s="147">
        <f>169+25</f>
        <v>194</v>
      </c>
      <c r="H476" s="146"/>
      <c r="I476" s="142"/>
      <c r="J476" s="142"/>
    </row>
    <row r="477" spans="2:10" x14ac:dyDescent="0.2">
      <c r="B477" s="143">
        <f t="shared" si="7"/>
        <v>19</v>
      </c>
      <c r="C477" s="138" t="str">
        <f>TEXT(Таблица8[[#This Row],[Дата]],"М")</f>
        <v>5</v>
      </c>
      <c r="D477" s="144">
        <v>44685</v>
      </c>
      <c r="E477" s="143" t="s">
        <v>71</v>
      </c>
      <c r="F477" s="143" t="s">
        <v>94</v>
      </c>
      <c r="G477" s="147">
        <f>32*3</f>
        <v>96</v>
      </c>
      <c r="H477" s="146"/>
      <c r="I477" s="142"/>
      <c r="J477" s="142"/>
    </row>
    <row r="478" spans="2:10" x14ac:dyDescent="0.2">
      <c r="B478" s="143">
        <f t="shared" si="7"/>
        <v>19</v>
      </c>
      <c r="C478" s="138" t="str">
        <f>TEXT(Таблица8[[#This Row],[Дата]],"М")</f>
        <v>5</v>
      </c>
      <c r="D478" s="144">
        <v>44685</v>
      </c>
      <c r="E478" s="143" t="s">
        <v>19</v>
      </c>
      <c r="F478" s="143" t="s">
        <v>96</v>
      </c>
      <c r="G478" s="147">
        <v>185</v>
      </c>
      <c r="H478" s="146"/>
      <c r="I478" s="142"/>
      <c r="J478" s="142"/>
    </row>
    <row r="479" spans="2:10" x14ac:dyDescent="0.2">
      <c r="B479" s="143">
        <f t="shared" si="7"/>
        <v>19</v>
      </c>
      <c r="C479" s="138" t="str">
        <f>TEXT(Таблица8[[#This Row],[Дата]],"М")</f>
        <v>5</v>
      </c>
      <c r="D479" s="144">
        <v>44685</v>
      </c>
      <c r="E479" s="143" t="s">
        <v>23</v>
      </c>
      <c r="F479" s="143" t="s">
        <v>103</v>
      </c>
      <c r="G479" s="147">
        <v>1999</v>
      </c>
      <c r="H479" s="146"/>
      <c r="I479" s="142"/>
      <c r="J479" s="142"/>
    </row>
    <row r="480" spans="2:10" x14ac:dyDescent="0.2">
      <c r="B480" s="137">
        <f t="shared" si="7"/>
        <v>19</v>
      </c>
      <c r="C480" s="138" t="str">
        <f>TEXT(Таблица8[[#This Row],[Дата]],"М")</f>
        <v>5</v>
      </c>
      <c r="D480" s="139">
        <v>44686</v>
      </c>
      <c r="E480" s="137" t="s">
        <v>72</v>
      </c>
      <c r="F480" s="137" t="s">
        <v>43</v>
      </c>
      <c r="G480" s="140">
        <v>72</v>
      </c>
      <c r="H480" s="141"/>
      <c r="I480" s="142"/>
      <c r="J480" s="142"/>
    </row>
    <row r="481" spans="2:11" x14ac:dyDescent="0.2">
      <c r="B481" s="143">
        <f t="shared" si="7"/>
        <v>19</v>
      </c>
      <c r="C481" s="138" t="str">
        <f>TEXT(Таблица8[[#This Row],[Дата]],"М")</f>
        <v>5</v>
      </c>
      <c r="D481" s="144">
        <v>44686</v>
      </c>
      <c r="E481" s="143" t="s">
        <v>71</v>
      </c>
      <c r="F481" s="143" t="s">
        <v>94</v>
      </c>
      <c r="G481" s="147">
        <v>32</v>
      </c>
      <c r="H481" s="146"/>
      <c r="I481" s="142"/>
      <c r="J481" s="142"/>
      <c r="K481" s="164"/>
    </row>
    <row r="482" spans="2:11" x14ac:dyDescent="0.2">
      <c r="B482" s="143">
        <f t="shared" si="7"/>
        <v>19</v>
      </c>
      <c r="C482" s="138" t="str">
        <f>TEXT(Таблица8[[#This Row],[Дата]],"М")</f>
        <v>5</v>
      </c>
      <c r="D482" s="144">
        <v>44686</v>
      </c>
      <c r="E482" s="143" t="s">
        <v>20</v>
      </c>
      <c r="F482" s="143" t="s">
        <v>99</v>
      </c>
      <c r="G482" s="147">
        <v>184</v>
      </c>
      <c r="H482" s="146"/>
      <c r="I482" s="142"/>
      <c r="J482" s="142"/>
    </row>
    <row r="483" spans="2:11" x14ac:dyDescent="0.2">
      <c r="B483" s="143">
        <f t="shared" si="7"/>
        <v>19</v>
      </c>
      <c r="C483" s="138" t="str">
        <f>TEXT(Таблица8[[#This Row],[Дата]],"М")</f>
        <v>5</v>
      </c>
      <c r="D483" s="144">
        <v>44686</v>
      </c>
      <c r="E483" s="143" t="s">
        <v>71</v>
      </c>
      <c r="F483" s="143" t="s">
        <v>91</v>
      </c>
      <c r="G483" s="147">
        <v>209</v>
      </c>
      <c r="H483" s="146"/>
      <c r="I483" s="142"/>
      <c r="J483" s="142"/>
    </row>
    <row r="484" spans="2:11" x14ac:dyDescent="0.2">
      <c r="B484" s="143">
        <f t="shared" si="7"/>
        <v>19</v>
      </c>
      <c r="C484" s="138" t="str">
        <f>TEXT(Таблица8[[#This Row],[Дата]],"М")</f>
        <v>5</v>
      </c>
      <c r="D484" s="144">
        <v>44686</v>
      </c>
      <c r="E484" s="143" t="s">
        <v>20</v>
      </c>
      <c r="F484" s="143" t="s">
        <v>118</v>
      </c>
      <c r="G484" s="147">
        <v>89</v>
      </c>
      <c r="H484" s="146"/>
      <c r="I484" s="142"/>
      <c r="J484" s="142"/>
    </row>
    <row r="485" spans="2:11" x14ac:dyDescent="0.2">
      <c r="B485" s="137">
        <f t="shared" si="7"/>
        <v>19</v>
      </c>
      <c r="C485" s="138" t="str">
        <f>TEXT(Таблица8[[#This Row],[Дата]],"М")</f>
        <v>5</v>
      </c>
      <c r="D485" s="139">
        <v>44687</v>
      </c>
      <c r="E485" s="137" t="s">
        <v>72</v>
      </c>
      <c r="F485" s="137" t="s">
        <v>43</v>
      </c>
      <c r="G485" s="140">
        <v>74</v>
      </c>
      <c r="H485" s="141"/>
      <c r="I485" s="142"/>
      <c r="J485" s="142"/>
    </row>
    <row r="486" spans="2:11" x14ac:dyDescent="0.2">
      <c r="B486" s="143">
        <f t="shared" si="7"/>
        <v>19</v>
      </c>
      <c r="C486" s="138" t="str">
        <f>TEXT(Таблица8[[#This Row],[Дата]],"М")</f>
        <v>5</v>
      </c>
      <c r="D486" s="144">
        <v>44687</v>
      </c>
      <c r="E486" s="143" t="s">
        <v>71</v>
      </c>
      <c r="F486" s="143" t="s">
        <v>94</v>
      </c>
      <c r="G486" s="147">
        <v>32</v>
      </c>
      <c r="H486" s="146"/>
      <c r="I486" s="142"/>
      <c r="J486" s="142"/>
    </row>
    <row r="487" spans="2:11" x14ac:dyDescent="0.2">
      <c r="B487" s="143">
        <f t="shared" si="7"/>
        <v>19</v>
      </c>
      <c r="C487" s="138" t="str">
        <f>TEXT(Таблица8[[#This Row],[Дата]],"М")</f>
        <v>5</v>
      </c>
      <c r="D487" s="144">
        <v>44687</v>
      </c>
      <c r="E487" s="143" t="s">
        <v>20</v>
      </c>
      <c r="F487" s="143" t="s">
        <v>99</v>
      </c>
      <c r="G487" s="147">
        <v>127</v>
      </c>
      <c r="H487" s="146"/>
      <c r="I487" s="142"/>
      <c r="J487" s="142"/>
    </row>
    <row r="488" spans="2:11" x14ac:dyDescent="0.2">
      <c r="B488" s="143">
        <f t="shared" si="7"/>
        <v>19</v>
      </c>
      <c r="C488" s="138" t="str">
        <f>TEXT(Таблица8[[#This Row],[Дата]],"М")</f>
        <v>5</v>
      </c>
      <c r="D488" s="144">
        <v>44687</v>
      </c>
      <c r="E488" s="143" t="s">
        <v>23</v>
      </c>
      <c r="F488" s="143" t="s">
        <v>103</v>
      </c>
      <c r="G488" s="147">
        <v>800</v>
      </c>
      <c r="H488" s="146"/>
      <c r="I488" s="142"/>
      <c r="J488" s="142"/>
    </row>
    <row r="489" spans="2:11" x14ac:dyDescent="0.2">
      <c r="B489" s="143">
        <f t="shared" si="7"/>
        <v>19</v>
      </c>
      <c r="C489" s="138" t="str">
        <f>TEXT(Таблица8[[#This Row],[Дата]],"М")</f>
        <v>5</v>
      </c>
      <c r="D489" s="144">
        <v>44687</v>
      </c>
      <c r="E489" s="143" t="s">
        <v>19</v>
      </c>
      <c r="F489" s="143" t="s">
        <v>96</v>
      </c>
      <c r="G489" s="147">
        <f>362+90</f>
        <v>452</v>
      </c>
      <c r="H489" s="146"/>
      <c r="I489" s="142"/>
      <c r="J489" s="142"/>
    </row>
    <row r="490" spans="2:11" x14ac:dyDescent="0.2">
      <c r="B490" s="143">
        <f t="shared" si="7"/>
        <v>19</v>
      </c>
      <c r="C490" s="138" t="str">
        <f>TEXT(Таблица8[[#This Row],[Дата]],"М")</f>
        <v>5</v>
      </c>
      <c r="D490" s="144">
        <v>44687</v>
      </c>
      <c r="E490" s="143" t="s">
        <v>72</v>
      </c>
      <c r="F490" s="143" t="s">
        <v>42</v>
      </c>
      <c r="G490" s="147">
        <v>50</v>
      </c>
      <c r="H490" s="146"/>
      <c r="I490" s="142"/>
      <c r="J490" s="142"/>
    </row>
    <row r="491" spans="2:11" x14ac:dyDescent="0.2">
      <c r="B491" s="137">
        <f t="shared" si="7"/>
        <v>19</v>
      </c>
      <c r="C491" s="138" t="str">
        <f>TEXT(Таблица8[[#This Row],[Дата]],"М")</f>
        <v>5</v>
      </c>
      <c r="D491" s="139">
        <v>44688</v>
      </c>
      <c r="E491" s="137" t="s">
        <v>71</v>
      </c>
      <c r="F491" s="137" t="s">
        <v>94</v>
      </c>
      <c r="G491" s="140">
        <v>32</v>
      </c>
      <c r="H491" s="141"/>
      <c r="I491" s="142"/>
      <c r="J491" s="142"/>
    </row>
    <row r="492" spans="2:11" x14ac:dyDescent="0.2">
      <c r="B492" s="143">
        <f t="shared" si="7"/>
        <v>19</v>
      </c>
      <c r="C492" s="138" t="str">
        <f>TEXT(Таблица8[[#This Row],[Дата]],"М")</f>
        <v>5</v>
      </c>
      <c r="D492" s="144">
        <v>44688</v>
      </c>
      <c r="E492" s="143" t="s">
        <v>20</v>
      </c>
      <c r="F492" s="143" t="s">
        <v>99</v>
      </c>
      <c r="G492" s="147">
        <v>113</v>
      </c>
      <c r="H492" s="146"/>
      <c r="I492" s="142"/>
      <c r="J492" s="142"/>
    </row>
    <row r="493" spans="2:11" x14ac:dyDescent="0.2">
      <c r="B493" s="143">
        <f t="shared" si="7"/>
        <v>19</v>
      </c>
      <c r="C493" s="138" t="str">
        <f>TEXT(Таблица8[[#This Row],[Дата]],"М")</f>
        <v>5</v>
      </c>
      <c r="D493" s="144">
        <v>44688</v>
      </c>
      <c r="E493" s="143" t="s">
        <v>19</v>
      </c>
      <c r="F493" s="143" t="s">
        <v>96</v>
      </c>
      <c r="G493" s="147">
        <v>250</v>
      </c>
      <c r="H493" s="146"/>
      <c r="I493" s="142"/>
      <c r="J493" s="142"/>
    </row>
    <row r="494" spans="2:11" x14ac:dyDescent="0.2">
      <c r="B494" s="143">
        <f t="shared" si="7"/>
        <v>19</v>
      </c>
      <c r="C494" s="138" t="str">
        <f>TEXT(Таблица8[[#This Row],[Дата]],"М")</f>
        <v>5</v>
      </c>
      <c r="D494" s="144">
        <v>44688</v>
      </c>
      <c r="E494" s="143" t="s">
        <v>30</v>
      </c>
      <c r="F494" s="143" t="s">
        <v>92</v>
      </c>
      <c r="G494" s="147">
        <v>70</v>
      </c>
      <c r="H494" s="146"/>
      <c r="I494" s="142"/>
      <c r="J494" s="142"/>
    </row>
    <row r="495" spans="2:11" x14ac:dyDescent="0.2">
      <c r="B495" s="137">
        <f t="shared" si="7"/>
        <v>20</v>
      </c>
      <c r="C495" s="138" t="str">
        <f>TEXT(Таблица8[[#This Row],[Дата]],"М")</f>
        <v>5</v>
      </c>
      <c r="D495" s="139">
        <v>44689</v>
      </c>
      <c r="E495" s="137" t="s">
        <v>20</v>
      </c>
      <c r="F495" s="137" t="s">
        <v>125</v>
      </c>
      <c r="G495" s="140">
        <v>149</v>
      </c>
      <c r="H495" s="141"/>
      <c r="I495" s="142"/>
      <c r="J495" s="142"/>
    </row>
    <row r="496" spans="2:11" x14ac:dyDescent="0.2">
      <c r="B496" s="143">
        <f t="shared" si="7"/>
        <v>20</v>
      </c>
      <c r="C496" s="138" t="str">
        <f>TEXT(Таблица8[[#This Row],[Дата]],"М")</f>
        <v>5</v>
      </c>
      <c r="D496" s="144">
        <v>44689</v>
      </c>
      <c r="E496" s="143" t="s">
        <v>19</v>
      </c>
      <c r="F496" s="143" t="s">
        <v>96</v>
      </c>
      <c r="G496" s="147">
        <v>70</v>
      </c>
      <c r="H496" s="146"/>
      <c r="I496" s="142"/>
      <c r="J496" s="142"/>
    </row>
    <row r="497" spans="2:10" x14ac:dyDescent="0.2">
      <c r="B497" s="137">
        <f t="shared" si="7"/>
        <v>20</v>
      </c>
      <c r="C497" s="138" t="str">
        <f>TEXT(Таблица8[[#This Row],[Дата]],"М")</f>
        <v>5</v>
      </c>
      <c r="D497" s="139">
        <v>44690</v>
      </c>
      <c r="E497" s="137" t="s">
        <v>71</v>
      </c>
      <c r="F497" s="137" t="s">
        <v>94</v>
      </c>
      <c r="G497" s="140">
        <v>32</v>
      </c>
      <c r="H497" s="141"/>
      <c r="I497" s="142"/>
      <c r="J497" s="142"/>
    </row>
    <row r="498" spans="2:10" x14ac:dyDescent="0.2">
      <c r="B498" s="143">
        <f t="shared" si="7"/>
        <v>20</v>
      </c>
      <c r="C498" s="138" t="str">
        <f>TEXT(Таблица8[[#This Row],[Дата]],"М")</f>
        <v>5</v>
      </c>
      <c r="D498" s="144">
        <v>44690</v>
      </c>
      <c r="E498" s="143" t="s">
        <v>71</v>
      </c>
      <c r="F498" s="143" t="s">
        <v>91</v>
      </c>
      <c r="G498" s="147">
        <v>147</v>
      </c>
      <c r="H498" s="146"/>
      <c r="I498" s="142"/>
      <c r="J498" s="142"/>
    </row>
    <row r="499" spans="2:10" x14ac:dyDescent="0.2">
      <c r="B499" s="143">
        <f t="shared" si="7"/>
        <v>20</v>
      </c>
      <c r="C499" s="138" t="str">
        <f>TEXT(Таблица8[[#This Row],[Дата]],"М")</f>
        <v>5</v>
      </c>
      <c r="D499" s="144">
        <v>44690</v>
      </c>
      <c r="E499" s="143" t="s">
        <v>20</v>
      </c>
      <c r="F499" s="143" t="s">
        <v>102</v>
      </c>
      <c r="G499" s="147">
        <v>126</v>
      </c>
      <c r="H499" s="146"/>
      <c r="I499" s="142"/>
      <c r="J499" s="142"/>
    </row>
    <row r="500" spans="2:10" x14ac:dyDescent="0.2">
      <c r="B500" s="137">
        <f t="shared" si="7"/>
        <v>20</v>
      </c>
      <c r="C500" s="138" t="str">
        <f>TEXT(Таблица8[[#This Row],[Дата]],"М")</f>
        <v>5</v>
      </c>
      <c r="D500" s="139">
        <v>44691</v>
      </c>
      <c r="E500" s="137" t="s">
        <v>71</v>
      </c>
      <c r="F500" s="137" t="s">
        <v>91</v>
      </c>
      <c r="G500" s="140">
        <f>197+204+7+10+10</f>
        <v>428</v>
      </c>
      <c r="H500" s="141"/>
      <c r="I500" s="142"/>
      <c r="J500" s="142"/>
    </row>
    <row r="501" spans="2:10" x14ac:dyDescent="0.2">
      <c r="B501" s="143">
        <f t="shared" si="7"/>
        <v>20</v>
      </c>
      <c r="C501" s="138" t="str">
        <f>TEXT(Таблица8[[#This Row],[Дата]],"М")</f>
        <v>5</v>
      </c>
      <c r="D501" s="144">
        <v>44691</v>
      </c>
      <c r="E501" s="143" t="s">
        <v>19</v>
      </c>
      <c r="F501" s="143" t="s">
        <v>96</v>
      </c>
      <c r="G501" s="147">
        <f>235+201</f>
        <v>436</v>
      </c>
      <c r="H501" s="146"/>
      <c r="I501" s="142"/>
      <c r="J501" s="142"/>
    </row>
    <row r="502" spans="2:10" x14ac:dyDescent="0.2">
      <c r="B502" s="143">
        <f t="shared" si="7"/>
        <v>20</v>
      </c>
      <c r="C502" s="138" t="str">
        <f>TEXT(Таблица8[[#This Row],[Дата]],"М")</f>
        <v>5</v>
      </c>
      <c r="D502" s="144">
        <v>44691</v>
      </c>
      <c r="E502" s="143" t="s">
        <v>22</v>
      </c>
      <c r="F502" s="143" t="s">
        <v>126</v>
      </c>
      <c r="G502" s="147">
        <v>1630</v>
      </c>
      <c r="H502" s="146"/>
      <c r="I502" s="142"/>
      <c r="J502" s="142"/>
    </row>
    <row r="503" spans="2:10" x14ac:dyDescent="0.2">
      <c r="B503" s="137">
        <f t="shared" si="7"/>
        <v>20</v>
      </c>
      <c r="C503" s="138" t="str">
        <f>TEXT(Таблица8[[#This Row],[Дата]],"М")</f>
        <v>5</v>
      </c>
      <c r="D503" s="139">
        <v>44692</v>
      </c>
      <c r="E503" s="137" t="s">
        <v>72</v>
      </c>
      <c r="F503" s="137" t="s">
        <v>43</v>
      </c>
      <c r="G503" s="140">
        <v>133</v>
      </c>
      <c r="H503" s="141"/>
      <c r="I503" s="142"/>
      <c r="J503" s="142"/>
    </row>
    <row r="504" spans="2:10" x14ac:dyDescent="0.2">
      <c r="B504" s="143">
        <f t="shared" si="7"/>
        <v>20</v>
      </c>
      <c r="C504" s="138" t="str">
        <f>TEXT(Таблица8[[#This Row],[Дата]],"М")</f>
        <v>5</v>
      </c>
      <c r="D504" s="144">
        <v>44692</v>
      </c>
      <c r="E504" s="143" t="s">
        <v>20</v>
      </c>
      <c r="F504" s="143" t="s">
        <v>99</v>
      </c>
      <c r="G504" s="147">
        <v>187</v>
      </c>
      <c r="H504" s="146"/>
      <c r="I504" s="142"/>
      <c r="J504" s="142"/>
    </row>
    <row r="505" spans="2:10" x14ac:dyDescent="0.2">
      <c r="B505" s="143">
        <f t="shared" si="7"/>
        <v>20</v>
      </c>
      <c r="C505" s="138" t="str">
        <f>TEXT(Таблица8[[#This Row],[Дата]],"М")</f>
        <v>5</v>
      </c>
      <c r="D505" s="144">
        <v>44692</v>
      </c>
      <c r="E505" s="143" t="s">
        <v>22</v>
      </c>
      <c r="F505" s="143" t="s">
        <v>126</v>
      </c>
      <c r="G505" s="147">
        <f>88+2+349</f>
        <v>439</v>
      </c>
      <c r="H505" s="146"/>
      <c r="I505" s="142"/>
      <c r="J505" s="142"/>
    </row>
    <row r="506" spans="2:10" x14ac:dyDescent="0.2">
      <c r="B506" s="137">
        <f t="shared" si="7"/>
        <v>20</v>
      </c>
      <c r="C506" s="138" t="str">
        <f>TEXT(Таблица8[[#This Row],[Дата]],"М")</f>
        <v>5</v>
      </c>
      <c r="D506" s="139">
        <v>44693</v>
      </c>
      <c r="E506" s="137" t="s">
        <v>20</v>
      </c>
      <c r="F506" s="137" t="s">
        <v>99</v>
      </c>
      <c r="G506" s="140">
        <f>127+43</f>
        <v>170</v>
      </c>
      <c r="H506" s="141"/>
      <c r="I506" s="142"/>
      <c r="J506" s="142"/>
    </row>
    <row r="507" spans="2:10" x14ac:dyDescent="0.2">
      <c r="B507" s="143">
        <f t="shared" si="7"/>
        <v>20</v>
      </c>
      <c r="C507" s="138" t="str">
        <f>TEXT(Таблица8[[#This Row],[Дата]],"М")</f>
        <v>5</v>
      </c>
      <c r="D507" s="144">
        <v>44693</v>
      </c>
      <c r="E507" s="143" t="s">
        <v>22</v>
      </c>
      <c r="F507" s="143" t="s">
        <v>126</v>
      </c>
      <c r="G507" s="147">
        <v>280</v>
      </c>
      <c r="H507" s="146"/>
      <c r="I507" s="142"/>
      <c r="J507" s="142"/>
    </row>
    <row r="508" spans="2:10" x14ac:dyDescent="0.2">
      <c r="B508" s="143">
        <f t="shared" si="7"/>
        <v>20</v>
      </c>
      <c r="C508" s="138" t="str">
        <f>TEXT(Таблица8[[#This Row],[Дата]],"М")</f>
        <v>5</v>
      </c>
      <c r="D508" s="144">
        <v>44693</v>
      </c>
      <c r="E508" s="143" t="s">
        <v>19</v>
      </c>
      <c r="F508" s="143" t="s">
        <v>96</v>
      </c>
      <c r="G508" s="147">
        <v>100</v>
      </c>
      <c r="H508" s="146"/>
      <c r="I508" s="142"/>
      <c r="J508" s="142"/>
    </row>
    <row r="509" spans="2:10" x14ac:dyDescent="0.2">
      <c r="B509" s="137">
        <f t="shared" si="7"/>
        <v>20</v>
      </c>
      <c r="C509" s="138" t="str">
        <f>TEXT(Таблица8[[#This Row],[Дата]],"М")</f>
        <v>5</v>
      </c>
      <c r="D509" s="139">
        <v>44694</v>
      </c>
      <c r="E509" s="137" t="s">
        <v>20</v>
      </c>
      <c r="F509" s="137" t="s">
        <v>99</v>
      </c>
      <c r="G509" s="140">
        <v>175</v>
      </c>
      <c r="H509" s="141"/>
      <c r="I509" s="142"/>
      <c r="J509" s="142"/>
    </row>
    <row r="510" spans="2:10" x14ac:dyDescent="0.2">
      <c r="B510" s="143">
        <f t="shared" si="7"/>
        <v>20</v>
      </c>
      <c r="C510" s="138" t="str">
        <f>TEXT(Таблица8[[#This Row],[Дата]],"М")</f>
        <v>5</v>
      </c>
      <c r="D510" s="144">
        <v>44694</v>
      </c>
      <c r="E510" s="143" t="s">
        <v>72</v>
      </c>
      <c r="F510" s="143" t="s">
        <v>41</v>
      </c>
      <c r="G510" s="147">
        <v>700</v>
      </c>
      <c r="H510" s="146"/>
      <c r="I510" s="142"/>
      <c r="J510" s="142"/>
    </row>
    <row r="511" spans="2:10" x14ac:dyDescent="0.2">
      <c r="B511" s="143">
        <f t="shared" ref="B511:B574" si="8">WEEKNUM(D511)</f>
        <v>20</v>
      </c>
      <c r="C511" s="138" t="str">
        <f>TEXT(Таблица8[[#This Row],[Дата]],"М")</f>
        <v>5</v>
      </c>
      <c r="D511" s="144">
        <v>44694</v>
      </c>
      <c r="E511" s="143" t="s">
        <v>72</v>
      </c>
      <c r="F511" s="143" t="s">
        <v>43</v>
      </c>
      <c r="G511" s="147">
        <v>76</v>
      </c>
      <c r="H511" s="146"/>
      <c r="I511" s="142"/>
      <c r="J511" s="142"/>
    </row>
    <row r="512" spans="2:10" x14ac:dyDescent="0.2">
      <c r="B512" s="143">
        <f t="shared" si="8"/>
        <v>20</v>
      </c>
      <c r="C512" s="138" t="str">
        <f>TEXT(Таблица8[[#This Row],[Дата]],"М")</f>
        <v>5</v>
      </c>
      <c r="D512" s="144">
        <v>44694</v>
      </c>
      <c r="E512" s="143" t="s">
        <v>72</v>
      </c>
      <c r="F512" s="143" t="s">
        <v>44</v>
      </c>
      <c r="G512" s="147">
        <v>200</v>
      </c>
      <c r="H512" s="146"/>
      <c r="I512" s="142"/>
      <c r="J512" s="142"/>
    </row>
    <row r="513" spans="2:10" x14ac:dyDescent="0.2">
      <c r="B513" s="143">
        <f t="shared" si="8"/>
        <v>20</v>
      </c>
      <c r="C513" s="138" t="str">
        <f>TEXT(Таблица8[[#This Row],[Дата]],"М")</f>
        <v>5</v>
      </c>
      <c r="D513" s="144">
        <v>44694</v>
      </c>
      <c r="E513" s="143" t="s">
        <v>72</v>
      </c>
      <c r="F513" s="143" t="s">
        <v>45</v>
      </c>
      <c r="G513" s="147">
        <v>200</v>
      </c>
      <c r="H513" s="146"/>
      <c r="I513" s="142"/>
      <c r="J513" s="142"/>
    </row>
    <row r="514" spans="2:10" x14ac:dyDescent="0.2">
      <c r="B514" s="143">
        <f t="shared" si="8"/>
        <v>20</v>
      </c>
      <c r="C514" s="138" t="str">
        <f>TEXT(Таблица8[[#This Row],[Дата]],"М")</f>
        <v>5</v>
      </c>
      <c r="D514" s="144">
        <v>44694</v>
      </c>
      <c r="E514" s="143" t="s">
        <v>19</v>
      </c>
      <c r="F514" s="143" t="s">
        <v>96</v>
      </c>
      <c r="G514" s="147">
        <v>65</v>
      </c>
      <c r="H514" s="146"/>
      <c r="I514" s="142"/>
      <c r="J514" s="142"/>
    </row>
    <row r="515" spans="2:10" x14ac:dyDescent="0.2">
      <c r="B515" s="143">
        <f t="shared" si="8"/>
        <v>20</v>
      </c>
      <c r="C515" s="138" t="str">
        <f>TEXT(Таблица8[[#This Row],[Дата]],"М")</f>
        <v>5</v>
      </c>
      <c r="D515" s="144">
        <v>44695</v>
      </c>
      <c r="E515" s="143" t="s">
        <v>22</v>
      </c>
      <c r="F515" s="143" t="s">
        <v>38</v>
      </c>
      <c r="G515" s="147">
        <v>104</v>
      </c>
      <c r="H515" s="146"/>
      <c r="I515" s="142"/>
      <c r="J515" s="142"/>
    </row>
    <row r="516" spans="2:10" x14ac:dyDescent="0.2">
      <c r="B516" s="143">
        <f t="shared" si="8"/>
        <v>20</v>
      </c>
      <c r="C516" s="138" t="str">
        <f>TEXT(Таблица8[[#This Row],[Дата]],"М")</f>
        <v>5</v>
      </c>
      <c r="D516" s="144">
        <v>44695</v>
      </c>
      <c r="E516" s="143" t="s">
        <v>19</v>
      </c>
      <c r="F516" s="143" t="s">
        <v>96</v>
      </c>
      <c r="G516" s="147">
        <f>65+471+156+142</f>
        <v>834</v>
      </c>
      <c r="H516" s="146"/>
      <c r="I516" s="142"/>
      <c r="J516" s="142"/>
    </row>
    <row r="517" spans="2:10" x14ac:dyDescent="0.2">
      <c r="B517" s="137">
        <f t="shared" si="8"/>
        <v>21</v>
      </c>
      <c r="C517" s="138" t="str">
        <f>TEXT(Таблица8[[#This Row],[Дата]],"М")</f>
        <v>5</v>
      </c>
      <c r="D517" s="139">
        <v>44696</v>
      </c>
      <c r="E517" s="137" t="s">
        <v>72</v>
      </c>
      <c r="F517" s="137" t="s">
        <v>43</v>
      </c>
      <c r="G517" s="140">
        <v>80</v>
      </c>
      <c r="H517" s="141"/>
      <c r="I517" s="142"/>
      <c r="J517" s="142"/>
    </row>
    <row r="518" spans="2:10" x14ac:dyDescent="0.2">
      <c r="B518" s="137">
        <f t="shared" si="8"/>
        <v>21</v>
      </c>
      <c r="C518" s="138" t="str">
        <f>TEXT(Таблица8[[#This Row],[Дата]],"М")</f>
        <v>5</v>
      </c>
      <c r="D518" s="139">
        <v>44697</v>
      </c>
      <c r="E518" s="137" t="s">
        <v>72</v>
      </c>
      <c r="F518" s="137" t="s">
        <v>43</v>
      </c>
      <c r="G518" s="140">
        <v>52</v>
      </c>
      <c r="H518" s="141"/>
      <c r="I518" s="142"/>
      <c r="J518" s="142"/>
    </row>
    <row r="519" spans="2:10" x14ac:dyDescent="0.2">
      <c r="B519" s="143">
        <f t="shared" si="8"/>
        <v>21</v>
      </c>
      <c r="C519" s="138" t="str">
        <f>TEXT(Таблица8[[#This Row],[Дата]],"М")</f>
        <v>5</v>
      </c>
      <c r="D519" s="144">
        <v>44697</v>
      </c>
      <c r="E519" s="143" t="s">
        <v>20</v>
      </c>
      <c r="F519" s="143" t="s">
        <v>99</v>
      </c>
      <c r="G519" s="147">
        <f>172+68</f>
        <v>240</v>
      </c>
      <c r="H519" s="146"/>
      <c r="I519" s="142"/>
      <c r="J519" s="142"/>
    </row>
    <row r="520" spans="2:10" x14ac:dyDescent="0.2">
      <c r="B520" s="143">
        <f t="shared" si="8"/>
        <v>21</v>
      </c>
      <c r="C520" s="138" t="str">
        <f>TEXT(Таблица8[[#This Row],[Дата]],"М")</f>
        <v>5</v>
      </c>
      <c r="D520" s="144">
        <v>44697</v>
      </c>
      <c r="E520" s="143" t="s">
        <v>20</v>
      </c>
      <c r="F520" s="143" t="s">
        <v>97</v>
      </c>
      <c r="G520" s="147">
        <v>433</v>
      </c>
      <c r="H520" s="146"/>
      <c r="I520" s="142"/>
      <c r="J520" s="142"/>
    </row>
    <row r="521" spans="2:10" x14ac:dyDescent="0.2">
      <c r="B521" s="143">
        <f t="shared" si="8"/>
        <v>21</v>
      </c>
      <c r="C521" s="138" t="str">
        <f>TEXT(Таблица8[[#This Row],[Дата]],"М")</f>
        <v>5</v>
      </c>
      <c r="D521" s="144">
        <v>44697</v>
      </c>
      <c r="E521" s="143" t="s">
        <v>71</v>
      </c>
      <c r="F521" s="143" t="s">
        <v>94</v>
      </c>
      <c r="G521" s="147">
        <f>32*3</f>
        <v>96</v>
      </c>
      <c r="H521" s="146"/>
      <c r="I521" s="142"/>
      <c r="J521" s="142"/>
    </row>
    <row r="522" spans="2:10" x14ac:dyDescent="0.2">
      <c r="B522" s="137">
        <f t="shared" si="8"/>
        <v>21</v>
      </c>
      <c r="C522" s="138" t="str">
        <f>TEXT(Таблица8[[#This Row],[Дата]],"М")</f>
        <v>5</v>
      </c>
      <c r="D522" s="139">
        <v>44698</v>
      </c>
      <c r="E522" s="137" t="s">
        <v>72</v>
      </c>
      <c r="F522" s="137" t="s">
        <v>43</v>
      </c>
      <c r="G522" s="140">
        <v>54</v>
      </c>
      <c r="H522" s="141"/>
      <c r="I522" s="142"/>
      <c r="J522" s="142"/>
    </row>
    <row r="523" spans="2:10" x14ac:dyDescent="0.2">
      <c r="B523" s="143">
        <f t="shared" si="8"/>
        <v>21</v>
      </c>
      <c r="C523" s="138" t="str">
        <f>TEXT(Таблица8[[#This Row],[Дата]],"М")</f>
        <v>5</v>
      </c>
      <c r="D523" s="144">
        <v>44698</v>
      </c>
      <c r="E523" s="143" t="s">
        <v>20</v>
      </c>
      <c r="F523" s="143" t="s">
        <v>99</v>
      </c>
      <c r="G523" s="147">
        <v>132</v>
      </c>
      <c r="H523" s="146"/>
      <c r="I523" s="142"/>
      <c r="J523" s="142"/>
    </row>
    <row r="524" spans="2:10" x14ac:dyDescent="0.2">
      <c r="B524" s="143">
        <f t="shared" si="8"/>
        <v>21</v>
      </c>
      <c r="C524" s="138" t="str">
        <f>TEXT(Таблица8[[#This Row],[Дата]],"М")</f>
        <v>5</v>
      </c>
      <c r="D524" s="144">
        <v>44698</v>
      </c>
      <c r="E524" s="143" t="s">
        <v>19</v>
      </c>
      <c r="F524" s="143" t="s">
        <v>116</v>
      </c>
      <c r="G524" s="147">
        <v>130</v>
      </c>
      <c r="H524" s="146"/>
      <c r="I524" s="142"/>
      <c r="J524" s="142"/>
    </row>
    <row r="525" spans="2:10" x14ac:dyDescent="0.2">
      <c r="B525" s="137">
        <f t="shared" si="8"/>
        <v>21</v>
      </c>
      <c r="C525" s="138" t="str">
        <f>TEXT(Таблица8[[#This Row],[Дата]],"М")</f>
        <v>5</v>
      </c>
      <c r="D525" s="139">
        <v>44699</v>
      </c>
      <c r="E525" s="137" t="s">
        <v>72</v>
      </c>
      <c r="F525" s="137" t="s">
        <v>43</v>
      </c>
      <c r="G525" s="140">
        <v>56</v>
      </c>
      <c r="H525" s="141"/>
      <c r="I525" s="142"/>
      <c r="J525" s="142"/>
    </row>
    <row r="526" spans="2:10" x14ac:dyDescent="0.2">
      <c r="B526" s="143">
        <f t="shared" si="8"/>
        <v>21</v>
      </c>
      <c r="C526" s="138" t="str">
        <f>TEXT(Таблица8[[#This Row],[Дата]],"М")</f>
        <v>5</v>
      </c>
      <c r="D526" s="144">
        <v>44699</v>
      </c>
      <c r="E526" s="143" t="s">
        <v>23</v>
      </c>
      <c r="F526" s="143" t="s">
        <v>111</v>
      </c>
      <c r="G526" s="147">
        <v>324</v>
      </c>
      <c r="H526" s="146"/>
      <c r="I526" s="142"/>
      <c r="J526" s="142"/>
    </row>
    <row r="527" spans="2:10" x14ac:dyDescent="0.2">
      <c r="B527" s="143">
        <f t="shared" si="8"/>
        <v>21</v>
      </c>
      <c r="C527" s="138" t="str">
        <f>TEXT(Таблица8[[#This Row],[Дата]],"М")</f>
        <v>5</v>
      </c>
      <c r="D527" s="144">
        <v>44699</v>
      </c>
      <c r="E527" s="143" t="s">
        <v>20</v>
      </c>
      <c r="F527" s="143" t="s">
        <v>99</v>
      </c>
      <c r="G527" s="147">
        <v>85</v>
      </c>
      <c r="H527" s="146"/>
      <c r="I527" s="142"/>
      <c r="J527" s="142"/>
    </row>
    <row r="528" spans="2:10" x14ac:dyDescent="0.2">
      <c r="B528" s="137">
        <f t="shared" si="8"/>
        <v>21</v>
      </c>
      <c r="C528" s="138" t="str">
        <f>TEXT(Таблица8[[#This Row],[Дата]],"М")</f>
        <v>5</v>
      </c>
      <c r="D528" s="139">
        <v>44700</v>
      </c>
      <c r="E528" s="137" t="s">
        <v>72</v>
      </c>
      <c r="F528" s="137" t="s">
        <v>43</v>
      </c>
      <c r="G528" s="140">
        <v>58</v>
      </c>
      <c r="H528" s="141"/>
      <c r="I528" s="142"/>
      <c r="J528" s="142"/>
    </row>
    <row r="529" spans="2:10" x14ac:dyDescent="0.2">
      <c r="B529" s="143">
        <f t="shared" si="8"/>
        <v>21</v>
      </c>
      <c r="C529" s="138" t="str">
        <f>TEXT(Таблица8[[#This Row],[Дата]],"М")</f>
        <v>5</v>
      </c>
      <c r="D529" s="144">
        <v>44700</v>
      </c>
      <c r="E529" s="143" t="s">
        <v>71</v>
      </c>
      <c r="F529" s="143" t="s">
        <v>94</v>
      </c>
      <c r="G529" s="147">
        <f>32*3</f>
        <v>96</v>
      </c>
      <c r="H529" s="146"/>
      <c r="I529" s="142"/>
      <c r="J529" s="142"/>
    </row>
    <row r="530" spans="2:10" x14ac:dyDescent="0.2">
      <c r="B530" s="143">
        <f t="shared" si="8"/>
        <v>21</v>
      </c>
      <c r="C530" s="138" t="str">
        <f>TEXT(Таблица8[[#This Row],[Дата]],"М")</f>
        <v>5</v>
      </c>
      <c r="D530" s="144">
        <v>44700</v>
      </c>
      <c r="E530" s="143" t="s">
        <v>20</v>
      </c>
      <c r="F530" s="143" t="s">
        <v>99</v>
      </c>
      <c r="G530" s="147">
        <v>175</v>
      </c>
      <c r="H530" s="146"/>
      <c r="I530" s="142"/>
      <c r="J530" s="142"/>
    </row>
    <row r="531" spans="2:10" x14ac:dyDescent="0.2">
      <c r="B531" s="143">
        <f t="shared" si="8"/>
        <v>21</v>
      </c>
      <c r="C531" s="138" t="str">
        <f>TEXT(Таблица8[[#This Row],[Дата]],"М")</f>
        <v>5</v>
      </c>
      <c r="D531" s="144">
        <v>44700</v>
      </c>
      <c r="E531" s="143" t="s">
        <v>19</v>
      </c>
      <c r="F531" s="143" t="s">
        <v>96</v>
      </c>
      <c r="G531" s="147">
        <f>58+50</f>
        <v>108</v>
      </c>
      <c r="H531" s="146"/>
      <c r="I531" s="142"/>
      <c r="J531" s="142"/>
    </row>
    <row r="532" spans="2:10" x14ac:dyDescent="0.2">
      <c r="B532" s="137">
        <f t="shared" si="8"/>
        <v>21</v>
      </c>
      <c r="C532" s="138" t="str">
        <f>TEXT(Таблица8[[#This Row],[Дата]],"М")</f>
        <v>5</v>
      </c>
      <c r="D532" s="139">
        <v>44701</v>
      </c>
      <c r="E532" s="137" t="s">
        <v>72</v>
      </c>
      <c r="F532" s="137" t="s">
        <v>43</v>
      </c>
      <c r="G532" s="140">
        <v>60</v>
      </c>
      <c r="H532" s="141"/>
      <c r="I532" s="142"/>
      <c r="J532" s="142"/>
    </row>
    <row r="533" spans="2:10" x14ac:dyDescent="0.2">
      <c r="B533" s="143">
        <f t="shared" si="8"/>
        <v>21</v>
      </c>
      <c r="C533" s="138" t="str">
        <f>TEXT(Таблица8[[#This Row],[Дата]],"М")</f>
        <v>5</v>
      </c>
      <c r="D533" s="144">
        <v>44701</v>
      </c>
      <c r="E533" s="143" t="s">
        <v>71</v>
      </c>
      <c r="F533" s="143" t="s">
        <v>94</v>
      </c>
      <c r="G533" s="147">
        <f>64</f>
        <v>64</v>
      </c>
      <c r="H533" s="146"/>
      <c r="I533" s="142"/>
      <c r="J533" s="142"/>
    </row>
    <row r="534" spans="2:10" x14ac:dyDescent="0.2">
      <c r="B534" s="143">
        <f t="shared" si="8"/>
        <v>21</v>
      </c>
      <c r="C534" s="138" t="str">
        <f>TEXT(Таблица8[[#This Row],[Дата]],"М")</f>
        <v>5</v>
      </c>
      <c r="D534" s="144">
        <v>44701</v>
      </c>
      <c r="E534" s="143" t="s">
        <v>20</v>
      </c>
      <c r="F534" s="143" t="s">
        <v>99</v>
      </c>
      <c r="G534" s="147">
        <f>73+85</f>
        <v>158</v>
      </c>
      <c r="H534" s="146"/>
      <c r="I534" s="142"/>
      <c r="J534" s="142"/>
    </row>
    <row r="535" spans="2:10" x14ac:dyDescent="0.2">
      <c r="B535" s="143">
        <f t="shared" si="8"/>
        <v>21</v>
      </c>
      <c r="C535" s="138" t="str">
        <f>TEXT(Таблица8[[#This Row],[Дата]],"М")</f>
        <v>5</v>
      </c>
      <c r="D535" s="144">
        <v>44701</v>
      </c>
      <c r="E535" s="143" t="s">
        <v>19</v>
      </c>
      <c r="F535" s="143" t="s">
        <v>96</v>
      </c>
      <c r="G535" s="147">
        <f>364+62</f>
        <v>426</v>
      </c>
      <c r="H535" s="146"/>
      <c r="I535" s="142"/>
      <c r="J535" s="142"/>
    </row>
    <row r="536" spans="2:10" x14ac:dyDescent="0.2">
      <c r="B536" s="137">
        <f t="shared" si="8"/>
        <v>21</v>
      </c>
      <c r="C536" s="138" t="str">
        <f>TEXT(Таблица8[[#This Row],[Дата]],"М")</f>
        <v>5</v>
      </c>
      <c r="D536" s="139">
        <v>44702</v>
      </c>
      <c r="E536" s="137" t="s">
        <v>72</v>
      </c>
      <c r="F536" s="137" t="s">
        <v>43</v>
      </c>
      <c r="G536" s="140">
        <v>62</v>
      </c>
      <c r="H536" s="141"/>
      <c r="I536" s="142"/>
      <c r="J536" s="142"/>
    </row>
    <row r="537" spans="2:10" x14ac:dyDescent="0.2">
      <c r="B537" s="143">
        <f t="shared" si="8"/>
        <v>21</v>
      </c>
      <c r="C537" s="138" t="str">
        <f>TEXT(Таблица8[[#This Row],[Дата]],"М")</f>
        <v>5</v>
      </c>
      <c r="D537" s="144">
        <v>44702</v>
      </c>
      <c r="E537" s="143" t="s">
        <v>71</v>
      </c>
      <c r="F537" s="143" t="s">
        <v>91</v>
      </c>
      <c r="G537" s="147">
        <f>99+5</f>
        <v>104</v>
      </c>
      <c r="H537" s="146"/>
      <c r="I537" s="142"/>
      <c r="J537" s="142"/>
    </row>
    <row r="538" spans="2:10" x14ac:dyDescent="0.2">
      <c r="B538" s="143">
        <f t="shared" si="8"/>
        <v>21</v>
      </c>
      <c r="C538" s="138" t="str">
        <f>TEXT(Таблица8[[#This Row],[Дата]],"М")</f>
        <v>5</v>
      </c>
      <c r="D538" s="144">
        <v>44702</v>
      </c>
      <c r="E538" s="143" t="s">
        <v>20</v>
      </c>
      <c r="F538" s="143" t="s">
        <v>118</v>
      </c>
      <c r="G538" s="147">
        <v>119</v>
      </c>
      <c r="H538" s="146"/>
      <c r="I538" s="142"/>
      <c r="J538" s="142"/>
    </row>
    <row r="539" spans="2:10" x14ac:dyDescent="0.2">
      <c r="B539" s="137">
        <f t="shared" si="8"/>
        <v>22</v>
      </c>
      <c r="C539" s="138" t="str">
        <f>TEXT(Таблица8[[#This Row],[Дата]],"М")</f>
        <v>5</v>
      </c>
      <c r="D539" s="139">
        <v>44703</v>
      </c>
      <c r="E539" s="137" t="s">
        <v>71</v>
      </c>
      <c r="F539" s="137" t="s">
        <v>91</v>
      </c>
      <c r="G539" s="140">
        <f>389+19-200</f>
        <v>208</v>
      </c>
      <c r="H539" s="141"/>
      <c r="I539" s="142"/>
      <c r="J539" s="142"/>
    </row>
    <row r="540" spans="2:10" x14ac:dyDescent="0.2">
      <c r="B540" s="143">
        <f t="shared" si="8"/>
        <v>22</v>
      </c>
      <c r="C540" s="138" t="str">
        <f>TEXT(Таблица8[[#This Row],[Дата]],"М")</f>
        <v>5</v>
      </c>
      <c r="D540" s="144">
        <v>44703</v>
      </c>
      <c r="E540" s="143" t="s">
        <v>71</v>
      </c>
      <c r="F540" s="143" t="s">
        <v>94</v>
      </c>
      <c r="G540" s="147">
        <v>64</v>
      </c>
      <c r="H540" s="146"/>
      <c r="I540" s="142"/>
      <c r="J540" s="142"/>
    </row>
    <row r="541" spans="2:10" x14ac:dyDescent="0.2">
      <c r="B541" s="143">
        <f t="shared" si="8"/>
        <v>22</v>
      </c>
      <c r="C541" s="138" t="str">
        <f>TEXT(Таблица8[[#This Row],[Дата]],"М")</f>
        <v>5</v>
      </c>
      <c r="D541" s="144">
        <v>44703</v>
      </c>
      <c r="E541" s="155" t="s">
        <v>20</v>
      </c>
      <c r="F541" s="155" t="s">
        <v>102</v>
      </c>
      <c r="G541" s="156">
        <f>480-250</f>
        <v>230</v>
      </c>
      <c r="H541" s="157"/>
      <c r="I541" s="158"/>
      <c r="J541" s="158"/>
    </row>
    <row r="542" spans="2:10" x14ac:dyDescent="0.2">
      <c r="B542" s="137">
        <f t="shared" si="8"/>
        <v>22</v>
      </c>
      <c r="C542" s="138" t="str">
        <f>TEXT(Таблица8[[#This Row],[Дата]],"М")</f>
        <v>5</v>
      </c>
      <c r="D542" s="139">
        <v>44704</v>
      </c>
      <c r="E542" s="137" t="s">
        <v>20</v>
      </c>
      <c r="F542" s="137" t="s">
        <v>99</v>
      </c>
      <c r="G542" s="140">
        <f>100</f>
        <v>100</v>
      </c>
      <c r="H542" s="141"/>
      <c r="I542" s="142"/>
      <c r="J542" s="142"/>
    </row>
    <row r="543" spans="2:10" x14ac:dyDescent="0.2">
      <c r="B543" s="143">
        <f t="shared" si="8"/>
        <v>22</v>
      </c>
      <c r="C543" s="138" t="str">
        <f>TEXT(Таблица8[[#This Row],[Дата]],"М")</f>
        <v>5</v>
      </c>
      <c r="D543" s="144">
        <v>44704</v>
      </c>
      <c r="E543" s="143" t="s">
        <v>20</v>
      </c>
      <c r="F543" s="143" t="s">
        <v>95</v>
      </c>
      <c r="G543" s="147">
        <f>75</f>
        <v>75</v>
      </c>
      <c r="H543" s="146"/>
      <c r="I543" s="142"/>
      <c r="J543" s="142"/>
    </row>
    <row r="544" spans="2:10" x14ac:dyDescent="0.2">
      <c r="B544" s="143">
        <f t="shared" si="8"/>
        <v>22</v>
      </c>
      <c r="C544" s="138" t="str">
        <f>TEXT(Таблица8[[#This Row],[Дата]],"М")</f>
        <v>5</v>
      </c>
      <c r="D544" s="144">
        <v>44704</v>
      </c>
      <c r="E544" s="143" t="s">
        <v>29</v>
      </c>
      <c r="F544" s="143" t="s">
        <v>107</v>
      </c>
      <c r="G544" s="147">
        <f>230+55</f>
        <v>285</v>
      </c>
      <c r="H544" s="146"/>
      <c r="I544" s="142"/>
      <c r="J544" s="142"/>
    </row>
    <row r="545" spans="2:11" x14ac:dyDescent="0.2">
      <c r="B545" s="143">
        <f t="shared" si="8"/>
        <v>22</v>
      </c>
      <c r="C545" s="138" t="str">
        <f>TEXT(Таблица8[[#This Row],[Дата]],"М")</f>
        <v>5</v>
      </c>
      <c r="D545" s="144">
        <v>44704</v>
      </c>
      <c r="E545" s="143" t="s">
        <v>19</v>
      </c>
      <c r="F545" s="143" t="s">
        <v>96</v>
      </c>
      <c r="G545" s="147">
        <f>150+184</f>
        <v>334</v>
      </c>
      <c r="H545" s="146"/>
      <c r="I545" s="142"/>
      <c r="J545" s="142"/>
    </row>
    <row r="546" spans="2:11" x14ac:dyDescent="0.2">
      <c r="B546" s="143">
        <f t="shared" si="8"/>
        <v>22</v>
      </c>
      <c r="C546" s="138" t="str">
        <f>TEXT(Таблица8[[#This Row],[Дата]],"М")</f>
        <v>5</v>
      </c>
      <c r="D546" s="144">
        <v>44704</v>
      </c>
      <c r="E546" s="143" t="s">
        <v>72</v>
      </c>
      <c r="F546" s="143"/>
      <c r="G546" s="147">
        <v>16</v>
      </c>
      <c r="H546" s="146"/>
      <c r="I546" s="142"/>
      <c r="J546" s="142"/>
    </row>
    <row r="547" spans="2:11" x14ac:dyDescent="0.2">
      <c r="B547" s="137">
        <f t="shared" si="8"/>
        <v>22</v>
      </c>
      <c r="C547" s="138" t="str">
        <f>TEXT(Таблица8[[#This Row],[Дата]],"М")</f>
        <v>5</v>
      </c>
      <c r="D547" s="139">
        <v>44705</v>
      </c>
      <c r="E547" s="137" t="s">
        <v>71</v>
      </c>
      <c r="F547" s="137" t="s">
        <v>94</v>
      </c>
      <c r="G547" s="140">
        <f>32*3</f>
        <v>96</v>
      </c>
      <c r="H547" s="141"/>
      <c r="I547" s="142"/>
      <c r="J547" s="142"/>
    </row>
    <row r="548" spans="2:11" x14ac:dyDescent="0.2">
      <c r="B548" s="143">
        <f t="shared" si="8"/>
        <v>22</v>
      </c>
      <c r="C548" s="138" t="str">
        <f>TEXT(Таблица8[[#This Row],[Дата]],"М")</f>
        <v>5</v>
      </c>
      <c r="D548" s="144">
        <v>44705</v>
      </c>
      <c r="E548" s="143" t="s">
        <v>20</v>
      </c>
      <c r="F548" s="143" t="s">
        <v>99</v>
      </c>
      <c r="G548" s="147">
        <v>120</v>
      </c>
      <c r="H548" s="146"/>
      <c r="I548" s="142"/>
      <c r="J548" s="142"/>
    </row>
    <row r="549" spans="2:11" x14ac:dyDescent="0.2">
      <c r="B549" s="143">
        <f t="shared" si="8"/>
        <v>22</v>
      </c>
      <c r="C549" s="138" t="str">
        <f>TEXT(Таблица8[[#This Row],[Дата]],"М")</f>
        <v>5</v>
      </c>
      <c r="D549" s="144">
        <v>44705</v>
      </c>
      <c r="E549" s="143" t="s">
        <v>72</v>
      </c>
      <c r="F549" s="143" t="s">
        <v>43</v>
      </c>
      <c r="G549" s="147">
        <v>46</v>
      </c>
      <c r="H549" s="146"/>
      <c r="I549" s="142"/>
      <c r="J549" s="142"/>
      <c r="K549" s="120"/>
    </row>
    <row r="550" spans="2:11" x14ac:dyDescent="0.2">
      <c r="B550" s="143">
        <f t="shared" si="8"/>
        <v>22</v>
      </c>
      <c r="C550" s="138" t="str">
        <f>TEXT(Таблица8[[#This Row],[Дата]],"М")</f>
        <v>5</v>
      </c>
      <c r="D550" s="144">
        <v>44705</v>
      </c>
      <c r="E550" s="143" t="s">
        <v>19</v>
      </c>
      <c r="F550" s="143" t="s">
        <v>96</v>
      </c>
      <c r="G550" s="147">
        <f>50+103</f>
        <v>153</v>
      </c>
      <c r="H550" s="146"/>
      <c r="I550" s="142"/>
      <c r="J550" s="142"/>
      <c r="K550" s="120"/>
    </row>
    <row r="551" spans="2:11" x14ac:dyDescent="0.2">
      <c r="B551" s="137">
        <f t="shared" si="8"/>
        <v>22</v>
      </c>
      <c r="C551" s="138" t="str">
        <f>TEXT(Таблица8[[#This Row],[Дата]],"М")</f>
        <v>5</v>
      </c>
      <c r="D551" s="139">
        <v>44706</v>
      </c>
      <c r="E551" s="137" t="s">
        <v>71</v>
      </c>
      <c r="F551" s="137" t="s">
        <v>94</v>
      </c>
      <c r="G551" s="140">
        <v>32</v>
      </c>
      <c r="H551" s="141"/>
      <c r="I551" s="142"/>
      <c r="J551" s="142"/>
      <c r="K551" s="120"/>
    </row>
    <row r="552" spans="2:11" x14ac:dyDescent="0.2">
      <c r="B552" s="143">
        <f t="shared" si="8"/>
        <v>22</v>
      </c>
      <c r="C552" s="138" t="str">
        <f>TEXT(Таблица8[[#This Row],[Дата]],"М")</f>
        <v>5</v>
      </c>
      <c r="D552" s="144">
        <v>44706</v>
      </c>
      <c r="E552" s="143" t="s">
        <v>20</v>
      </c>
      <c r="F552" s="143" t="s">
        <v>99</v>
      </c>
      <c r="G552" s="147">
        <v>275</v>
      </c>
      <c r="H552" s="146"/>
      <c r="I552" s="142"/>
      <c r="J552" s="142"/>
      <c r="K552" s="120"/>
    </row>
    <row r="553" spans="2:11" x14ac:dyDescent="0.2">
      <c r="B553" s="143">
        <f t="shared" si="8"/>
        <v>22</v>
      </c>
      <c r="C553" s="138" t="str">
        <f>TEXT(Таблица8[[#This Row],[Дата]],"М")</f>
        <v>5</v>
      </c>
      <c r="D553" s="144">
        <v>44706</v>
      </c>
      <c r="E553" s="143" t="s">
        <v>20</v>
      </c>
      <c r="F553" s="143" t="s">
        <v>95</v>
      </c>
      <c r="G553" s="147">
        <v>25</v>
      </c>
      <c r="H553" s="146"/>
      <c r="I553" s="142"/>
      <c r="J553" s="142"/>
      <c r="K553" s="120"/>
    </row>
    <row r="554" spans="2:11" x14ac:dyDescent="0.2">
      <c r="B554" s="143">
        <f t="shared" si="8"/>
        <v>22</v>
      </c>
      <c r="C554" s="138" t="str">
        <f>TEXT(Таблица8[[#This Row],[Дата]],"М")</f>
        <v>5</v>
      </c>
      <c r="D554" s="144">
        <v>44706</v>
      </c>
      <c r="E554" s="143" t="s">
        <v>27</v>
      </c>
      <c r="F554" s="143"/>
      <c r="G554" s="147">
        <v>50</v>
      </c>
      <c r="H554" s="146"/>
      <c r="I554" s="142"/>
      <c r="J554" s="142"/>
      <c r="K554" s="120"/>
    </row>
    <row r="555" spans="2:11" x14ac:dyDescent="0.2">
      <c r="B555" s="143">
        <f t="shared" si="8"/>
        <v>22</v>
      </c>
      <c r="C555" s="138" t="str">
        <f>TEXT(Таблица8[[#This Row],[Дата]],"М")</f>
        <v>5</v>
      </c>
      <c r="D555" s="144">
        <v>44706</v>
      </c>
      <c r="E555" s="143" t="s">
        <v>19</v>
      </c>
      <c r="F555" s="143" t="s">
        <v>96</v>
      </c>
      <c r="G555" s="147">
        <v>71</v>
      </c>
      <c r="H555" s="146"/>
      <c r="I555" s="142"/>
      <c r="J555" s="142"/>
      <c r="K555" s="120"/>
    </row>
    <row r="556" spans="2:11" x14ac:dyDescent="0.2">
      <c r="B556" s="137">
        <f t="shared" si="8"/>
        <v>22</v>
      </c>
      <c r="C556" s="138" t="str">
        <f>TEXT(Таблица8[[#This Row],[Дата]],"М")</f>
        <v>5</v>
      </c>
      <c r="D556" s="139">
        <v>44707</v>
      </c>
      <c r="E556" s="137" t="s">
        <v>20</v>
      </c>
      <c r="F556" s="137" t="s">
        <v>99</v>
      </c>
      <c r="G556" s="140">
        <v>201</v>
      </c>
      <c r="H556" s="141"/>
      <c r="I556" s="142"/>
      <c r="J556" s="142"/>
      <c r="K556" s="120"/>
    </row>
    <row r="557" spans="2:11" x14ac:dyDescent="0.2">
      <c r="B557" s="143">
        <f t="shared" si="8"/>
        <v>22</v>
      </c>
      <c r="C557" s="138" t="str">
        <f>TEXT(Таблица8[[#This Row],[Дата]],"М")</f>
        <v>5</v>
      </c>
      <c r="D557" s="144">
        <v>44707</v>
      </c>
      <c r="E557" s="143" t="s">
        <v>19</v>
      </c>
      <c r="F557" s="143" t="s">
        <v>96</v>
      </c>
      <c r="G557" s="147">
        <f>21+90</f>
        <v>111</v>
      </c>
      <c r="H557" s="146"/>
      <c r="I557" s="142"/>
      <c r="J557" s="142"/>
      <c r="K557" s="120"/>
    </row>
    <row r="558" spans="2:11" x14ac:dyDescent="0.2">
      <c r="B558" s="137">
        <f t="shared" si="8"/>
        <v>22</v>
      </c>
      <c r="C558" s="138" t="str">
        <f>TEXT(Таблица8[[#This Row],[Дата]],"М")</f>
        <v>5</v>
      </c>
      <c r="D558" s="139">
        <v>44708</v>
      </c>
      <c r="E558" s="137" t="s">
        <v>71</v>
      </c>
      <c r="F558" s="137" t="s">
        <v>94</v>
      </c>
      <c r="G558" s="140">
        <v>32</v>
      </c>
      <c r="H558" s="141"/>
      <c r="I558" s="142"/>
      <c r="J558" s="142"/>
    </row>
    <row r="559" spans="2:11" x14ac:dyDescent="0.2">
      <c r="B559" s="143">
        <f t="shared" si="8"/>
        <v>22</v>
      </c>
      <c r="C559" s="138" t="str">
        <f>TEXT(Таблица8[[#This Row],[Дата]],"М")</f>
        <v>5</v>
      </c>
      <c r="D559" s="144">
        <v>44708</v>
      </c>
      <c r="E559" s="143" t="s">
        <v>20</v>
      </c>
      <c r="F559" s="143" t="s">
        <v>99</v>
      </c>
      <c r="G559" s="147">
        <f>108+20</f>
        <v>128</v>
      </c>
      <c r="H559" s="146"/>
      <c r="I559" s="142"/>
      <c r="J559" s="142"/>
    </row>
    <row r="560" spans="2:11" x14ac:dyDescent="0.2">
      <c r="B560" s="143">
        <f t="shared" si="8"/>
        <v>22</v>
      </c>
      <c r="C560" s="138" t="str">
        <f>TEXT(Таблица8[[#This Row],[Дата]],"М")</f>
        <v>5</v>
      </c>
      <c r="D560" s="144">
        <v>44708</v>
      </c>
      <c r="E560" s="143" t="s">
        <v>30</v>
      </c>
      <c r="F560" s="143" t="s">
        <v>92</v>
      </c>
      <c r="G560" s="147">
        <v>490</v>
      </c>
      <c r="H560" s="146"/>
      <c r="I560" s="142"/>
      <c r="J560" s="142"/>
    </row>
    <row r="561" spans="2:10" x14ac:dyDescent="0.2">
      <c r="B561" s="137">
        <f t="shared" si="8"/>
        <v>22</v>
      </c>
      <c r="C561" s="138" t="str">
        <f>TEXT(Таблица8[[#This Row],[Дата]],"М")</f>
        <v>5</v>
      </c>
      <c r="D561" s="139">
        <v>44709</v>
      </c>
      <c r="E561" s="137" t="s">
        <v>22</v>
      </c>
      <c r="F561" s="137" t="s">
        <v>38</v>
      </c>
      <c r="G561" s="140">
        <v>753</v>
      </c>
      <c r="H561" s="141"/>
      <c r="I561" s="142"/>
      <c r="J561" s="142"/>
    </row>
    <row r="562" spans="2:10" x14ac:dyDescent="0.2">
      <c r="B562" s="143">
        <f t="shared" si="8"/>
        <v>22</v>
      </c>
      <c r="C562" s="138" t="str">
        <f>TEXT(Таблица8[[#This Row],[Дата]],"М")</f>
        <v>5</v>
      </c>
      <c r="D562" s="144">
        <v>44709</v>
      </c>
      <c r="E562" s="143" t="s">
        <v>72</v>
      </c>
      <c r="F562" s="143" t="s">
        <v>45</v>
      </c>
      <c r="G562" s="147">
        <v>500</v>
      </c>
      <c r="H562" s="146"/>
      <c r="I562" s="142"/>
      <c r="J562" s="142"/>
    </row>
    <row r="563" spans="2:10" x14ac:dyDescent="0.2">
      <c r="B563" s="143">
        <f t="shared" si="8"/>
        <v>22</v>
      </c>
      <c r="C563" s="138" t="str">
        <f>TEXT(Таблица8[[#This Row],[Дата]],"М")</f>
        <v>5</v>
      </c>
      <c r="D563" s="144">
        <v>44709</v>
      </c>
      <c r="E563" s="143" t="s">
        <v>19</v>
      </c>
      <c r="F563" s="143" t="s">
        <v>96</v>
      </c>
      <c r="G563" s="147">
        <f>179+65</f>
        <v>244</v>
      </c>
      <c r="H563" s="146"/>
      <c r="I563" s="142"/>
      <c r="J563" s="142"/>
    </row>
    <row r="564" spans="2:10" x14ac:dyDescent="0.2">
      <c r="B564" s="143">
        <f t="shared" si="8"/>
        <v>22</v>
      </c>
      <c r="C564" s="138" t="str">
        <f>TEXT(Таблица8[[#This Row],[Дата]],"М")</f>
        <v>5</v>
      </c>
      <c r="D564" s="144">
        <v>44709</v>
      </c>
      <c r="E564" s="143" t="s">
        <v>23</v>
      </c>
      <c r="F564" s="143" t="s">
        <v>103</v>
      </c>
      <c r="G564" s="147">
        <v>109</v>
      </c>
      <c r="H564" s="146"/>
      <c r="I564" s="142"/>
      <c r="J564" s="142"/>
    </row>
    <row r="565" spans="2:10" x14ac:dyDescent="0.2">
      <c r="B565" s="137">
        <f t="shared" si="8"/>
        <v>23</v>
      </c>
      <c r="C565" s="138" t="str">
        <f>TEXT(Таблица8[[#This Row],[Дата]],"М")</f>
        <v>5</v>
      </c>
      <c r="D565" s="139">
        <v>44710</v>
      </c>
      <c r="E565" s="137" t="s">
        <v>71</v>
      </c>
      <c r="F565" s="137" t="s">
        <v>91</v>
      </c>
      <c r="G565" s="140">
        <f>22+449</f>
        <v>471</v>
      </c>
      <c r="H565" s="141"/>
      <c r="I565" s="142"/>
      <c r="J565" s="142"/>
    </row>
    <row r="566" spans="2:10" x14ac:dyDescent="0.2">
      <c r="B566" s="143">
        <f t="shared" si="8"/>
        <v>23</v>
      </c>
      <c r="C566" s="138" t="str">
        <f>TEXT(Таблица8[[#This Row],[Дата]],"М")</f>
        <v>5</v>
      </c>
      <c r="D566" s="144">
        <v>44710</v>
      </c>
      <c r="E566" s="143" t="s">
        <v>19</v>
      </c>
      <c r="F566" s="143" t="s">
        <v>96</v>
      </c>
      <c r="G566" s="147">
        <f>46+125+58+132</f>
        <v>361</v>
      </c>
      <c r="H566" s="146"/>
      <c r="I566" s="142"/>
      <c r="J566" s="142"/>
    </row>
    <row r="567" spans="2:10" x14ac:dyDescent="0.2">
      <c r="B567" s="137">
        <f t="shared" si="8"/>
        <v>23</v>
      </c>
      <c r="C567" s="138" t="str">
        <f>TEXT(Таблица8[[#This Row],[Дата]],"М")</f>
        <v>5</v>
      </c>
      <c r="D567" s="139">
        <v>44711</v>
      </c>
      <c r="E567" s="137" t="s">
        <v>20</v>
      </c>
      <c r="F567" s="137" t="s">
        <v>99</v>
      </c>
      <c r="G567" s="140">
        <v>100</v>
      </c>
      <c r="H567" s="141"/>
      <c r="I567" s="142"/>
      <c r="J567" s="142"/>
    </row>
    <row r="568" spans="2:10" x14ac:dyDescent="0.2">
      <c r="B568" s="143">
        <f t="shared" si="8"/>
        <v>23</v>
      </c>
      <c r="C568" s="138" t="str">
        <f>TEXT(Таблица8[[#This Row],[Дата]],"М")</f>
        <v>5</v>
      </c>
      <c r="D568" s="144">
        <v>44711</v>
      </c>
      <c r="E568" s="143" t="s">
        <v>20</v>
      </c>
      <c r="F568" s="143" t="s">
        <v>95</v>
      </c>
      <c r="G568" s="147">
        <v>314</v>
      </c>
      <c r="H568" s="146"/>
      <c r="I568" s="142"/>
      <c r="J568" s="142"/>
    </row>
    <row r="569" spans="2:10" x14ac:dyDescent="0.2">
      <c r="B569" s="143">
        <f t="shared" si="8"/>
        <v>23</v>
      </c>
      <c r="C569" s="138" t="str">
        <f>TEXT(Таблица8[[#This Row],[Дата]],"М")</f>
        <v>5</v>
      </c>
      <c r="D569" s="144">
        <v>44711</v>
      </c>
      <c r="E569" s="143" t="s">
        <v>72</v>
      </c>
      <c r="F569" s="143" t="s">
        <v>45</v>
      </c>
      <c r="G569" s="147">
        <v>200</v>
      </c>
      <c r="H569" s="146"/>
      <c r="I569" s="142"/>
      <c r="J569" s="142"/>
    </row>
    <row r="570" spans="2:10" x14ac:dyDescent="0.2">
      <c r="B570" s="143">
        <f t="shared" si="8"/>
        <v>23</v>
      </c>
      <c r="C570" s="138" t="str">
        <f>TEXT(Таблица8[[#This Row],[Дата]],"М")</f>
        <v>5</v>
      </c>
      <c r="D570" s="144">
        <v>44711</v>
      </c>
      <c r="E570" s="143" t="s">
        <v>72</v>
      </c>
      <c r="F570" s="143" t="s">
        <v>42</v>
      </c>
      <c r="G570" s="147">
        <v>100</v>
      </c>
      <c r="H570" s="146"/>
      <c r="I570" s="142"/>
      <c r="J570" s="142"/>
    </row>
    <row r="571" spans="2:10" x14ac:dyDescent="0.2">
      <c r="B571" s="143">
        <f t="shared" si="8"/>
        <v>23</v>
      </c>
      <c r="C571" s="138" t="str">
        <f>TEXT(Таблица8[[#This Row],[Дата]],"М")</f>
        <v>5</v>
      </c>
      <c r="D571" s="144">
        <v>44711</v>
      </c>
      <c r="E571" s="143" t="s">
        <v>29</v>
      </c>
      <c r="F571" s="143" t="s">
        <v>105</v>
      </c>
      <c r="G571" s="147">
        <v>240</v>
      </c>
      <c r="H571" s="146"/>
      <c r="I571" s="142"/>
      <c r="J571" s="142"/>
    </row>
    <row r="572" spans="2:10" x14ac:dyDescent="0.2">
      <c r="B572" s="143">
        <f t="shared" si="8"/>
        <v>23</v>
      </c>
      <c r="C572" s="138" t="str">
        <f>TEXT(Таблица8[[#This Row],[Дата]],"М")</f>
        <v>5</v>
      </c>
      <c r="D572" s="144">
        <v>44711</v>
      </c>
      <c r="E572" s="143" t="s">
        <v>26</v>
      </c>
      <c r="F572" s="143" t="s">
        <v>120</v>
      </c>
      <c r="G572" s="147">
        <v>110</v>
      </c>
      <c r="H572" s="146"/>
      <c r="I572" s="142"/>
      <c r="J572" s="142"/>
    </row>
    <row r="573" spans="2:10" x14ac:dyDescent="0.2">
      <c r="B573" s="143">
        <f t="shared" si="8"/>
        <v>23</v>
      </c>
      <c r="C573" s="138" t="str">
        <f>TEXT(Таблица8[[#This Row],[Дата]],"М")</f>
        <v>5</v>
      </c>
      <c r="D573" s="144">
        <v>44711</v>
      </c>
      <c r="E573" s="143" t="s">
        <v>23</v>
      </c>
      <c r="F573" s="143" t="s">
        <v>111</v>
      </c>
      <c r="G573" s="147">
        <v>374</v>
      </c>
      <c r="H573" s="146"/>
      <c r="I573" s="142"/>
      <c r="J573" s="142"/>
    </row>
    <row r="574" spans="2:10" x14ac:dyDescent="0.2">
      <c r="B574" s="143">
        <f t="shared" si="8"/>
        <v>23</v>
      </c>
      <c r="C574" s="138" t="str">
        <f>TEXT(Таблица8[[#This Row],[Дата]],"М")</f>
        <v>5</v>
      </c>
      <c r="D574" s="144">
        <v>44711</v>
      </c>
      <c r="E574" s="143" t="s">
        <v>72</v>
      </c>
      <c r="F574" s="143" t="s">
        <v>40</v>
      </c>
      <c r="G574" s="147">
        <v>500</v>
      </c>
      <c r="H574" s="146"/>
      <c r="I574" s="142"/>
      <c r="J574" s="142"/>
    </row>
    <row r="575" spans="2:10" x14ac:dyDescent="0.2">
      <c r="B575" s="143">
        <f t="shared" ref="B575:B638" si="9">WEEKNUM(D575)</f>
        <v>23</v>
      </c>
      <c r="C575" s="138" t="str">
        <f>TEXT(Таблица8[[#This Row],[Дата]],"М")</f>
        <v>5</v>
      </c>
      <c r="D575" s="144">
        <v>44711</v>
      </c>
      <c r="E575" s="143" t="s">
        <v>19</v>
      </c>
      <c r="F575" s="143" t="s">
        <v>96</v>
      </c>
      <c r="G575" s="147">
        <v>56</v>
      </c>
      <c r="H575" s="146"/>
      <c r="I575" s="142"/>
      <c r="J575" s="142"/>
    </row>
    <row r="576" spans="2:10" x14ac:dyDescent="0.2">
      <c r="B576" s="137">
        <f t="shared" si="9"/>
        <v>23</v>
      </c>
      <c r="C576" s="138" t="str">
        <f>TEXT(Таблица8[[#This Row],[Дата]],"М")</f>
        <v>5</v>
      </c>
      <c r="D576" s="139">
        <v>44712</v>
      </c>
      <c r="E576" s="137" t="s">
        <v>72</v>
      </c>
      <c r="F576" s="137" t="s">
        <v>43</v>
      </c>
      <c r="G576" s="140">
        <v>52</v>
      </c>
      <c r="H576" s="141"/>
      <c r="I576" s="142"/>
      <c r="J576" s="142"/>
    </row>
    <row r="577" spans="2:10" x14ac:dyDescent="0.2">
      <c r="B577" s="143">
        <f t="shared" si="9"/>
        <v>23</v>
      </c>
      <c r="C577" s="138" t="str">
        <f>TEXT(Таблица8[[#This Row],[Дата]],"М")</f>
        <v>5</v>
      </c>
      <c r="D577" s="144">
        <v>44712</v>
      </c>
      <c r="E577" s="143" t="s">
        <v>26</v>
      </c>
      <c r="F577" s="143" t="s">
        <v>117</v>
      </c>
      <c r="G577" s="147">
        <v>100</v>
      </c>
      <c r="H577" s="146"/>
      <c r="I577" s="142"/>
      <c r="J577" s="142"/>
    </row>
    <row r="578" spans="2:10" x14ac:dyDescent="0.2">
      <c r="B578" s="143">
        <f t="shared" si="9"/>
        <v>23</v>
      </c>
      <c r="C578" s="138" t="str">
        <f>TEXT(Таблица8[[#This Row],[Дата]],"М")</f>
        <v>5</v>
      </c>
      <c r="D578" s="144">
        <v>44712</v>
      </c>
      <c r="E578" s="143" t="s">
        <v>20</v>
      </c>
      <c r="F578" s="143" t="s">
        <v>99</v>
      </c>
      <c r="G578" s="147">
        <v>145</v>
      </c>
      <c r="H578" s="146"/>
      <c r="I578" s="142"/>
      <c r="J578" s="142"/>
    </row>
    <row r="579" spans="2:10" x14ac:dyDescent="0.2">
      <c r="B579" s="143">
        <f t="shared" si="9"/>
        <v>23</v>
      </c>
      <c r="C579" s="138" t="str">
        <f>TEXT(Таблица8[[#This Row],[Дата]],"М")</f>
        <v>5</v>
      </c>
      <c r="D579" s="144">
        <v>44712</v>
      </c>
      <c r="E579" s="143" t="s">
        <v>19</v>
      </c>
      <c r="F579" s="143" t="s">
        <v>96</v>
      </c>
      <c r="G579" s="147">
        <v>200</v>
      </c>
      <c r="H579" s="146"/>
      <c r="I579" s="142"/>
      <c r="J579" s="142"/>
    </row>
    <row r="580" spans="2:10" x14ac:dyDescent="0.2">
      <c r="B580" s="143">
        <f t="shared" si="9"/>
        <v>23</v>
      </c>
      <c r="C580" s="138" t="str">
        <f>TEXT(Таблица8[[#This Row],[Дата]],"М")</f>
        <v>5</v>
      </c>
      <c r="D580" s="144">
        <v>44712</v>
      </c>
      <c r="E580" s="143" t="s">
        <v>71</v>
      </c>
      <c r="F580" s="143" t="s">
        <v>94</v>
      </c>
      <c r="G580" s="147">
        <v>32</v>
      </c>
      <c r="H580" s="146"/>
      <c r="I580" s="142"/>
      <c r="J580" s="142"/>
    </row>
    <row r="581" spans="2:10" x14ac:dyDescent="0.2">
      <c r="B581" s="143">
        <f t="shared" si="9"/>
        <v>23</v>
      </c>
      <c r="C581" s="138" t="str">
        <f>TEXT(Таблица8[[#This Row],[Дата]],"М")</f>
        <v>5</v>
      </c>
      <c r="D581" s="144">
        <v>44712</v>
      </c>
      <c r="E581" s="143" t="s">
        <v>23</v>
      </c>
      <c r="F581" s="143" t="s">
        <v>103</v>
      </c>
      <c r="G581" s="147">
        <v>190</v>
      </c>
      <c r="H581" s="146"/>
      <c r="I581" s="142"/>
      <c r="J581" s="142"/>
    </row>
    <row r="582" spans="2:10" x14ac:dyDescent="0.2">
      <c r="B582" s="137">
        <f t="shared" si="9"/>
        <v>23</v>
      </c>
      <c r="C582" s="138" t="str">
        <f>TEXT(Таблица8[[#This Row],[Дата]],"М")</f>
        <v>6</v>
      </c>
      <c r="D582" s="139">
        <v>44713</v>
      </c>
      <c r="E582" s="137" t="s">
        <v>72</v>
      </c>
      <c r="F582" s="137" t="s">
        <v>43</v>
      </c>
      <c r="G582" s="140">
        <v>54</v>
      </c>
      <c r="H582" s="141"/>
      <c r="I582" s="142"/>
      <c r="J582" s="142"/>
    </row>
    <row r="583" spans="2:10" x14ac:dyDescent="0.2">
      <c r="B583" s="143">
        <f t="shared" si="9"/>
        <v>23</v>
      </c>
      <c r="C583" s="138" t="str">
        <f>TEXT(Таблица8[[#This Row],[Дата]],"М")</f>
        <v>6</v>
      </c>
      <c r="D583" s="144">
        <v>44713</v>
      </c>
      <c r="E583" s="143" t="s">
        <v>20</v>
      </c>
      <c r="F583" s="143" t="s">
        <v>99</v>
      </c>
      <c r="G583" s="147">
        <v>157</v>
      </c>
      <c r="H583" s="146"/>
      <c r="I583" s="142"/>
      <c r="J583" s="142"/>
    </row>
    <row r="584" spans="2:10" x14ac:dyDescent="0.2">
      <c r="B584" s="143">
        <f t="shared" si="9"/>
        <v>23</v>
      </c>
      <c r="C584" s="138" t="str">
        <f>TEXT(Таблица8[[#This Row],[Дата]],"М")</f>
        <v>6</v>
      </c>
      <c r="D584" s="144">
        <v>44713</v>
      </c>
      <c r="E584" s="143" t="s">
        <v>20</v>
      </c>
      <c r="F584" s="143" t="s">
        <v>102</v>
      </c>
      <c r="G584" s="147">
        <v>55</v>
      </c>
      <c r="H584" s="146"/>
      <c r="I584" s="142"/>
      <c r="J584" s="142"/>
    </row>
    <row r="585" spans="2:10" x14ac:dyDescent="0.2">
      <c r="B585" s="137">
        <f t="shared" si="9"/>
        <v>23</v>
      </c>
      <c r="C585" s="138" t="str">
        <f>TEXT(Таблица8[[#This Row],[Дата]],"М")</f>
        <v>6</v>
      </c>
      <c r="D585" s="139">
        <v>44714</v>
      </c>
      <c r="E585" s="137" t="s">
        <v>72</v>
      </c>
      <c r="F585" s="137" t="s">
        <v>43</v>
      </c>
      <c r="G585" s="140">
        <v>56</v>
      </c>
      <c r="H585" s="141"/>
      <c r="I585" s="142"/>
      <c r="J585" s="142"/>
    </row>
    <row r="586" spans="2:10" x14ac:dyDescent="0.2">
      <c r="B586" s="143">
        <f t="shared" si="9"/>
        <v>23</v>
      </c>
      <c r="C586" s="138" t="str">
        <f>TEXT(Таблица8[[#This Row],[Дата]],"М")</f>
        <v>6</v>
      </c>
      <c r="D586" s="144">
        <v>44714</v>
      </c>
      <c r="E586" s="143" t="s">
        <v>20</v>
      </c>
      <c r="F586" s="143" t="s">
        <v>99</v>
      </c>
      <c r="G586" s="147">
        <v>117</v>
      </c>
      <c r="H586" s="146"/>
      <c r="I586" s="142"/>
      <c r="J586" s="142"/>
    </row>
    <row r="587" spans="2:10" x14ac:dyDescent="0.2">
      <c r="B587" s="143">
        <f t="shared" si="9"/>
        <v>23</v>
      </c>
      <c r="C587" s="138" t="str">
        <f>TEXT(Таблица8[[#This Row],[Дата]],"М")</f>
        <v>6</v>
      </c>
      <c r="D587" s="144">
        <v>44714</v>
      </c>
      <c r="E587" s="143" t="s">
        <v>22</v>
      </c>
      <c r="F587" s="143" t="s">
        <v>38</v>
      </c>
      <c r="G587" s="147">
        <f>120+24+12</f>
        <v>156</v>
      </c>
      <c r="H587" s="146"/>
      <c r="I587" s="142"/>
      <c r="J587" s="142"/>
    </row>
    <row r="588" spans="2:10" x14ac:dyDescent="0.2">
      <c r="B588" s="143">
        <f t="shared" si="9"/>
        <v>23</v>
      </c>
      <c r="C588" s="138" t="str">
        <f>TEXT(Таблица8[[#This Row],[Дата]],"М")</f>
        <v>6</v>
      </c>
      <c r="D588" s="144">
        <v>44714</v>
      </c>
      <c r="E588" s="143" t="s">
        <v>19</v>
      </c>
      <c r="F588" s="143" t="s">
        <v>96</v>
      </c>
      <c r="G588" s="147">
        <f>178+90</f>
        <v>268</v>
      </c>
      <c r="H588" s="146"/>
      <c r="I588" s="142"/>
      <c r="J588" s="142"/>
    </row>
    <row r="589" spans="2:10" x14ac:dyDescent="0.2">
      <c r="B589" s="137">
        <f t="shared" si="9"/>
        <v>23</v>
      </c>
      <c r="C589" s="138" t="str">
        <f>TEXT(Таблица8[[#This Row],[Дата]],"М")</f>
        <v>6</v>
      </c>
      <c r="D589" s="139">
        <v>44715</v>
      </c>
      <c r="E589" s="137" t="s">
        <v>72</v>
      </c>
      <c r="F589" s="137" t="s">
        <v>43</v>
      </c>
      <c r="G589" s="140">
        <v>58</v>
      </c>
      <c r="H589" s="141"/>
      <c r="I589" s="142"/>
      <c r="J589" s="142"/>
    </row>
    <row r="590" spans="2:10" x14ac:dyDescent="0.2">
      <c r="B590" s="143">
        <f t="shared" si="9"/>
        <v>23</v>
      </c>
      <c r="C590" s="138" t="str">
        <f>TEXT(Таблица8[[#This Row],[Дата]],"М")</f>
        <v>6</v>
      </c>
      <c r="D590" s="144">
        <v>44715</v>
      </c>
      <c r="E590" s="143" t="s">
        <v>71</v>
      </c>
      <c r="F590" s="143" t="s">
        <v>94</v>
      </c>
      <c r="G590" s="147">
        <f>64</f>
        <v>64</v>
      </c>
      <c r="H590" s="146"/>
      <c r="I590" s="142"/>
      <c r="J590" s="142"/>
    </row>
    <row r="591" spans="2:10" x14ac:dyDescent="0.2">
      <c r="B591" s="143">
        <f t="shared" si="9"/>
        <v>23</v>
      </c>
      <c r="C591" s="138" t="str">
        <f>TEXT(Таблица8[[#This Row],[Дата]],"М")</f>
        <v>6</v>
      </c>
      <c r="D591" s="144">
        <v>44715</v>
      </c>
      <c r="E591" s="143" t="s">
        <v>19</v>
      </c>
      <c r="F591" s="143" t="s">
        <v>96</v>
      </c>
      <c r="G591" s="147">
        <v>108</v>
      </c>
      <c r="H591" s="146"/>
      <c r="I591" s="142"/>
      <c r="J591" s="142"/>
    </row>
    <row r="592" spans="2:10" x14ac:dyDescent="0.2">
      <c r="B592" s="143">
        <f t="shared" si="9"/>
        <v>23</v>
      </c>
      <c r="C592" s="138" t="str">
        <f>TEXT(Таблица8[[#This Row],[Дата]],"М")</f>
        <v>6</v>
      </c>
      <c r="D592" s="144">
        <v>44715</v>
      </c>
      <c r="E592" s="143" t="s">
        <v>71</v>
      </c>
      <c r="F592" s="143" t="s">
        <v>115</v>
      </c>
      <c r="G592" s="147">
        <v>60</v>
      </c>
      <c r="H592" s="146"/>
      <c r="I592" s="142"/>
      <c r="J592" s="142"/>
    </row>
    <row r="593" spans="2:11" x14ac:dyDescent="0.2">
      <c r="B593" s="143">
        <f t="shared" si="9"/>
        <v>23</v>
      </c>
      <c r="C593" s="138" t="str">
        <f>TEXT(Таблица8[[#This Row],[Дата]],"М")</f>
        <v>6</v>
      </c>
      <c r="D593" s="144">
        <v>44715</v>
      </c>
      <c r="E593" s="143" t="s">
        <v>20</v>
      </c>
      <c r="F593" s="143" t="s">
        <v>97</v>
      </c>
      <c r="G593" s="147">
        <v>283</v>
      </c>
      <c r="H593" s="146"/>
      <c r="I593" s="142"/>
      <c r="J593" s="142"/>
    </row>
    <row r="594" spans="2:11" x14ac:dyDescent="0.2">
      <c r="B594" s="143">
        <f t="shared" si="9"/>
        <v>23</v>
      </c>
      <c r="C594" s="138" t="str">
        <f>TEXT(Таблица8[[#This Row],[Дата]],"М")</f>
        <v>6</v>
      </c>
      <c r="D594" s="144">
        <v>44715</v>
      </c>
      <c r="E594" s="143" t="s">
        <v>20</v>
      </c>
      <c r="F594" s="143" t="s">
        <v>102</v>
      </c>
      <c r="G594" s="147">
        <v>62</v>
      </c>
      <c r="H594" s="146"/>
      <c r="I594" s="142"/>
      <c r="J594" s="142"/>
    </row>
    <row r="595" spans="2:11" x14ac:dyDescent="0.2">
      <c r="B595" s="143">
        <f t="shared" si="9"/>
        <v>23</v>
      </c>
      <c r="C595" s="138" t="str">
        <f>TEXT(Таблица8[[#This Row],[Дата]],"М")</f>
        <v>6</v>
      </c>
      <c r="D595" s="144">
        <v>44715</v>
      </c>
      <c r="E595" s="143" t="s">
        <v>20</v>
      </c>
      <c r="F595" s="143" t="s">
        <v>102</v>
      </c>
      <c r="G595" s="147">
        <v>55</v>
      </c>
      <c r="H595" s="146"/>
      <c r="I595" s="142"/>
      <c r="J595" s="142"/>
    </row>
    <row r="596" spans="2:11" x14ac:dyDescent="0.2">
      <c r="B596" s="143">
        <f t="shared" si="9"/>
        <v>23</v>
      </c>
      <c r="C596" s="138" t="str">
        <f>TEXT(Таблица8[[#This Row],[Дата]],"М")</f>
        <v>6</v>
      </c>
      <c r="D596" s="144">
        <v>44715</v>
      </c>
      <c r="E596" s="143" t="s">
        <v>20</v>
      </c>
      <c r="F596" s="143" t="s">
        <v>118</v>
      </c>
      <c r="G596" s="147">
        <v>210</v>
      </c>
      <c r="H596" s="146"/>
      <c r="I596" s="142"/>
      <c r="J596" s="142"/>
    </row>
    <row r="597" spans="2:11" x14ac:dyDescent="0.2">
      <c r="B597" s="137">
        <f t="shared" si="9"/>
        <v>23</v>
      </c>
      <c r="C597" s="138" t="str">
        <f>TEXT(Таблица8[[#This Row],[Дата]],"М")</f>
        <v>6</v>
      </c>
      <c r="D597" s="139">
        <v>44716</v>
      </c>
      <c r="E597" s="137" t="s">
        <v>72</v>
      </c>
      <c r="F597" s="137" t="s">
        <v>43</v>
      </c>
      <c r="G597" s="140">
        <v>60</v>
      </c>
      <c r="H597" s="141"/>
      <c r="I597" s="142"/>
      <c r="J597" s="142"/>
    </row>
    <row r="598" spans="2:11" x14ac:dyDescent="0.2">
      <c r="B598" s="143">
        <f t="shared" si="9"/>
        <v>23</v>
      </c>
      <c r="C598" s="138" t="str">
        <f>TEXT(Таблица8[[#This Row],[Дата]],"М")</f>
        <v>6</v>
      </c>
      <c r="D598" s="144">
        <v>44716</v>
      </c>
      <c r="E598" s="143" t="s">
        <v>71</v>
      </c>
      <c r="F598" s="143" t="s">
        <v>115</v>
      </c>
      <c r="G598" s="147">
        <v>200</v>
      </c>
      <c r="H598" s="146"/>
      <c r="I598" s="142"/>
      <c r="J598" s="142"/>
    </row>
    <row r="599" spans="2:11" x14ac:dyDescent="0.2">
      <c r="B599" s="143">
        <f t="shared" si="9"/>
        <v>23</v>
      </c>
      <c r="C599" s="138" t="str">
        <f>TEXT(Таблица8[[#This Row],[Дата]],"М")</f>
        <v>6</v>
      </c>
      <c r="D599" s="144">
        <v>44716</v>
      </c>
      <c r="E599" s="143" t="s">
        <v>30</v>
      </c>
      <c r="F599" s="143" t="s">
        <v>92</v>
      </c>
      <c r="G599" s="147">
        <f>440+4</f>
        <v>444</v>
      </c>
      <c r="H599" s="146"/>
      <c r="I599" s="142"/>
      <c r="J599" s="142"/>
      <c r="K599" s="120"/>
    </row>
    <row r="600" spans="2:11" x14ac:dyDescent="0.2">
      <c r="B600" s="143">
        <f t="shared" si="9"/>
        <v>23</v>
      </c>
      <c r="C600" s="138" t="str">
        <f>TEXT(Таблица8[[#This Row],[Дата]],"М")</f>
        <v>6</v>
      </c>
      <c r="D600" s="144">
        <v>44716</v>
      </c>
      <c r="E600" s="143" t="s">
        <v>71</v>
      </c>
      <c r="F600" s="143" t="s">
        <v>94</v>
      </c>
      <c r="G600" s="147">
        <f>214+19</f>
        <v>233</v>
      </c>
      <c r="H600" s="146"/>
      <c r="I600" s="142"/>
      <c r="J600" s="142"/>
      <c r="K600" s="120"/>
    </row>
    <row r="601" spans="2:11" x14ac:dyDescent="0.2">
      <c r="B601" s="143">
        <f t="shared" si="9"/>
        <v>23</v>
      </c>
      <c r="C601" s="138" t="str">
        <f>TEXT(Таблица8[[#This Row],[Дата]],"М")</f>
        <v>6</v>
      </c>
      <c r="D601" s="144">
        <v>44716</v>
      </c>
      <c r="E601" s="143" t="s">
        <v>71</v>
      </c>
      <c r="F601" s="143" t="s">
        <v>94</v>
      </c>
      <c r="G601" s="147">
        <v>32</v>
      </c>
      <c r="H601" s="146"/>
      <c r="I601" s="142"/>
      <c r="J601" s="142"/>
      <c r="K601" s="120"/>
    </row>
    <row r="602" spans="2:11" x14ac:dyDescent="0.2">
      <c r="B602" s="137">
        <f t="shared" si="9"/>
        <v>24</v>
      </c>
      <c r="C602" s="138" t="str">
        <f>TEXT(Таблица8[[#This Row],[Дата]],"М")</f>
        <v>6</v>
      </c>
      <c r="D602" s="139">
        <v>44717</v>
      </c>
      <c r="E602" s="137" t="s">
        <v>71</v>
      </c>
      <c r="F602" s="137" t="s">
        <v>115</v>
      </c>
      <c r="G602" s="140">
        <v>277</v>
      </c>
      <c r="H602" s="141"/>
      <c r="I602" s="142"/>
      <c r="J602" s="142"/>
      <c r="K602" s="120"/>
    </row>
    <row r="603" spans="2:11" x14ac:dyDescent="0.2">
      <c r="B603" s="143">
        <f t="shared" si="9"/>
        <v>24</v>
      </c>
      <c r="C603" s="138" t="str">
        <f>TEXT(Таблица8[[#This Row],[Дата]],"М")</f>
        <v>6</v>
      </c>
      <c r="D603" s="144">
        <v>44717</v>
      </c>
      <c r="E603" s="143" t="s">
        <v>20</v>
      </c>
      <c r="F603" s="143" t="s">
        <v>118</v>
      </c>
      <c r="G603" s="147">
        <v>62</v>
      </c>
      <c r="H603" s="146"/>
      <c r="I603" s="142"/>
      <c r="J603" s="142"/>
    </row>
    <row r="604" spans="2:11" x14ac:dyDescent="0.2">
      <c r="B604" s="143">
        <f t="shared" si="9"/>
        <v>24</v>
      </c>
      <c r="C604" s="138" t="str">
        <f>TEXT(Таблица8[[#This Row],[Дата]],"М")</f>
        <v>6</v>
      </c>
      <c r="D604" s="144">
        <v>44717</v>
      </c>
      <c r="E604" s="143" t="s">
        <v>20</v>
      </c>
      <c r="F604" s="143" t="s">
        <v>102</v>
      </c>
      <c r="G604" s="147">
        <f>213+199</f>
        <v>412</v>
      </c>
      <c r="H604" s="146"/>
      <c r="I604" s="142"/>
      <c r="J604" s="142"/>
      <c r="K604" s="120"/>
    </row>
    <row r="605" spans="2:11" x14ac:dyDescent="0.2">
      <c r="B605" s="137">
        <f t="shared" si="9"/>
        <v>24</v>
      </c>
      <c r="C605" s="138" t="str">
        <f>TEXT(Таблица8[[#This Row],[Дата]],"М")</f>
        <v>6</v>
      </c>
      <c r="D605" s="139">
        <v>44718</v>
      </c>
      <c r="E605" s="137" t="s">
        <v>72</v>
      </c>
      <c r="F605" s="137" t="s">
        <v>43</v>
      </c>
      <c r="G605" s="140">
        <v>62</v>
      </c>
      <c r="H605" s="141"/>
      <c r="I605" s="142"/>
      <c r="J605" s="142"/>
      <c r="K605" s="120"/>
    </row>
    <row r="606" spans="2:11" x14ac:dyDescent="0.2">
      <c r="B606" s="143">
        <f t="shared" si="9"/>
        <v>24</v>
      </c>
      <c r="C606" s="138" t="str">
        <f>TEXT(Таблица8[[#This Row],[Дата]],"М")</f>
        <v>6</v>
      </c>
      <c r="D606" s="144">
        <v>44718</v>
      </c>
      <c r="E606" s="143" t="s">
        <v>20</v>
      </c>
      <c r="F606" s="143" t="s">
        <v>95</v>
      </c>
      <c r="G606" s="147">
        <v>100</v>
      </c>
      <c r="H606" s="146"/>
      <c r="I606" s="142"/>
      <c r="J606" s="142"/>
      <c r="K606" s="120"/>
    </row>
    <row r="607" spans="2:11" x14ac:dyDescent="0.2">
      <c r="B607" s="143">
        <f t="shared" si="9"/>
        <v>24</v>
      </c>
      <c r="C607" s="138" t="str">
        <f>TEXT(Таблица8[[#This Row],[Дата]],"М")</f>
        <v>6</v>
      </c>
      <c r="D607" s="144">
        <v>44718</v>
      </c>
      <c r="E607" s="143" t="s">
        <v>71</v>
      </c>
      <c r="F607" s="143" t="s">
        <v>94</v>
      </c>
      <c r="G607" s="147">
        <f>32*2</f>
        <v>64</v>
      </c>
      <c r="H607" s="146"/>
      <c r="I607" s="142"/>
      <c r="J607" s="142"/>
      <c r="K607" s="120"/>
    </row>
    <row r="608" spans="2:11" x14ac:dyDescent="0.2">
      <c r="B608" s="143">
        <f t="shared" si="9"/>
        <v>24</v>
      </c>
      <c r="C608" s="138" t="str">
        <f>TEXT(Таблица8[[#This Row],[Дата]],"М")</f>
        <v>6</v>
      </c>
      <c r="D608" s="144">
        <v>44718</v>
      </c>
      <c r="E608" s="143" t="s">
        <v>20</v>
      </c>
      <c r="F608" s="143" t="s">
        <v>99</v>
      </c>
      <c r="G608" s="147">
        <v>81</v>
      </c>
      <c r="H608" s="146"/>
      <c r="I608" s="142"/>
      <c r="J608" s="142"/>
      <c r="K608" s="120"/>
    </row>
    <row r="609" spans="2:11" x14ac:dyDescent="0.2">
      <c r="B609" s="137">
        <f t="shared" si="9"/>
        <v>24</v>
      </c>
      <c r="C609" s="138" t="str">
        <f>TEXT(Таблица8[[#This Row],[Дата]],"М")</f>
        <v>6</v>
      </c>
      <c r="D609" s="139">
        <v>44719</v>
      </c>
      <c r="E609" s="137" t="s">
        <v>20</v>
      </c>
      <c r="F609" s="137" t="s">
        <v>99</v>
      </c>
      <c r="G609" s="140">
        <f>26+100</f>
        <v>126</v>
      </c>
      <c r="H609" s="141"/>
      <c r="I609" s="142"/>
      <c r="J609" s="142"/>
      <c r="K609" s="120"/>
    </row>
    <row r="610" spans="2:11" x14ac:dyDescent="0.2">
      <c r="B610" s="143">
        <f t="shared" si="9"/>
        <v>24</v>
      </c>
      <c r="C610" s="138" t="str">
        <f>TEXT(Таблица8[[#This Row],[Дата]],"М")</f>
        <v>6</v>
      </c>
      <c r="D610" s="144">
        <v>44719</v>
      </c>
      <c r="E610" s="143" t="s">
        <v>19</v>
      </c>
      <c r="F610" s="143" t="s">
        <v>96</v>
      </c>
      <c r="G610" s="147">
        <f>145+59</f>
        <v>204</v>
      </c>
      <c r="H610" s="146"/>
      <c r="I610" s="142"/>
      <c r="J610" s="142"/>
      <c r="K610" s="120"/>
    </row>
    <row r="611" spans="2:11" x14ac:dyDescent="0.2">
      <c r="B611" s="137">
        <f t="shared" si="9"/>
        <v>24</v>
      </c>
      <c r="C611" s="138" t="str">
        <f>TEXT(Таблица8[[#This Row],[Дата]],"М")</f>
        <v>6</v>
      </c>
      <c r="D611" s="139">
        <v>44720</v>
      </c>
      <c r="E611" s="137" t="s">
        <v>71</v>
      </c>
      <c r="F611" s="137" t="s">
        <v>94</v>
      </c>
      <c r="G611" s="140">
        <v>32</v>
      </c>
      <c r="H611" s="141"/>
      <c r="I611" s="142"/>
      <c r="J611" s="142"/>
      <c r="K611" s="120"/>
    </row>
    <row r="612" spans="2:11" x14ac:dyDescent="0.2">
      <c r="B612" s="143">
        <f t="shared" si="9"/>
        <v>24</v>
      </c>
      <c r="C612" s="138" t="str">
        <f>TEXT(Таблица8[[#This Row],[Дата]],"М")</f>
        <v>6</v>
      </c>
      <c r="D612" s="144">
        <v>44720</v>
      </c>
      <c r="E612" s="143" t="s">
        <v>20</v>
      </c>
      <c r="F612" s="143" t="s">
        <v>99</v>
      </c>
      <c r="G612" s="147">
        <v>72</v>
      </c>
      <c r="H612" s="146"/>
      <c r="I612" s="142"/>
      <c r="J612" s="142"/>
      <c r="K612" s="120"/>
    </row>
    <row r="613" spans="2:11" x14ac:dyDescent="0.2">
      <c r="B613" s="143">
        <f t="shared" si="9"/>
        <v>24</v>
      </c>
      <c r="C613" s="138" t="str">
        <f>TEXT(Таблица8[[#This Row],[Дата]],"М")</f>
        <v>6</v>
      </c>
      <c r="D613" s="144">
        <v>44720</v>
      </c>
      <c r="E613" s="143" t="s">
        <v>19</v>
      </c>
      <c r="F613" s="143" t="s">
        <v>96</v>
      </c>
      <c r="G613" s="147">
        <v>58</v>
      </c>
      <c r="H613" s="146"/>
      <c r="I613" s="142"/>
      <c r="J613" s="142"/>
      <c r="K613" s="120"/>
    </row>
    <row r="614" spans="2:11" x14ac:dyDescent="0.2">
      <c r="B614" s="137">
        <f t="shared" si="9"/>
        <v>24</v>
      </c>
      <c r="C614" s="138" t="str">
        <f>TEXT(Таблица8[[#This Row],[Дата]],"М")</f>
        <v>6</v>
      </c>
      <c r="D614" s="139">
        <v>44721</v>
      </c>
      <c r="E614" s="137" t="s">
        <v>72</v>
      </c>
      <c r="F614" s="137" t="s">
        <v>43</v>
      </c>
      <c r="G614" s="140">
        <v>93</v>
      </c>
      <c r="H614" s="141"/>
      <c r="I614" s="142"/>
      <c r="J614" s="142"/>
      <c r="K614" s="120"/>
    </row>
    <row r="615" spans="2:11" x14ac:dyDescent="0.2">
      <c r="B615" s="143">
        <f t="shared" si="9"/>
        <v>24</v>
      </c>
      <c r="C615" s="138" t="str">
        <f>TEXT(Таблица8[[#This Row],[Дата]],"М")</f>
        <v>6</v>
      </c>
      <c r="D615" s="144">
        <v>44721</v>
      </c>
      <c r="E615" s="143" t="s">
        <v>20</v>
      </c>
      <c r="F615" s="143" t="s">
        <v>99</v>
      </c>
      <c r="G615" s="147">
        <f>55+80</f>
        <v>135</v>
      </c>
      <c r="H615" s="146"/>
      <c r="I615" s="142"/>
      <c r="J615" s="142"/>
      <c r="K615" s="120"/>
    </row>
    <row r="616" spans="2:11" x14ac:dyDescent="0.2">
      <c r="B616" s="137">
        <f t="shared" si="9"/>
        <v>24</v>
      </c>
      <c r="C616" s="138" t="str">
        <f>TEXT(Таблица8[[#This Row],[Дата]],"М")</f>
        <v>6</v>
      </c>
      <c r="D616" s="139">
        <v>44722</v>
      </c>
      <c r="E616" s="137" t="s">
        <v>20</v>
      </c>
      <c r="F616" s="137" t="s">
        <v>95</v>
      </c>
      <c r="G616" s="140">
        <v>61</v>
      </c>
      <c r="H616" s="141"/>
      <c r="I616" s="142"/>
      <c r="J616" s="142"/>
      <c r="K616" s="120"/>
    </row>
    <row r="617" spans="2:11" x14ac:dyDescent="0.2">
      <c r="B617" s="143">
        <f t="shared" si="9"/>
        <v>24</v>
      </c>
      <c r="C617" s="138" t="str">
        <f>TEXT(Таблица8[[#This Row],[Дата]],"М")</f>
        <v>6</v>
      </c>
      <c r="D617" s="144">
        <v>44722</v>
      </c>
      <c r="E617" s="143" t="s">
        <v>20</v>
      </c>
      <c r="F617" s="143" t="s">
        <v>99</v>
      </c>
      <c r="G617" s="147">
        <v>73</v>
      </c>
      <c r="H617" s="146"/>
      <c r="I617" s="142"/>
      <c r="J617" s="142"/>
    </row>
    <row r="618" spans="2:11" x14ac:dyDescent="0.2">
      <c r="B618" s="143">
        <f t="shared" si="9"/>
        <v>24</v>
      </c>
      <c r="C618" s="138" t="str">
        <f>TEXT(Таблица8[[#This Row],[Дата]],"М")</f>
        <v>6</v>
      </c>
      <c r="D618" s="144">
        <v>44722</v>
      </c>
      <c r="E618" s="143" t="s">
        <v>19</v>
      </c>
      <c r="F618" s="143" t="s">
        <v>96</v>
      </c>
      <c r="G618" s="147">
        <v>191</v>
      </c>
      <c r="H618" s="146"/>
      <c r="I618" s="142"/>
      <c r="J618" s="142"/>
    </row>
    <row r="619" spans="2:11" x14ac:dyDescent="0.2">
      <c r="B619" s="137">
        <f t="shared" si="9"/>
        <v>24</v>
      </c>
      <c r="C619" s="138" t="str">
        <f>TEXT(Таблица8[[#This Row],[Дата]],"М")</f>
        <v>6</v>
      </c>
      <c r="D619" s="139">
        <v>44723</v>
      </c>
      <c r="E619" s="137" t="s">
        <v>20</v>
      </c>
      <c r="F619" s="137" t="s">
        <v>99</v>
      </c>
      <c r="G619" s="140">
        <v>152</v>
      </c>
      <c r="H619" s="141"/>
      <c r="I619" s="142"/>
      <c r="J619" s="142"/>
    </row>
    <row r="620" spans="2:11" x14ac:dyDescent="0.2">
      <c r="B620" s="143">
        <f t="shared" si="9"/>
        <v>24</v>
      </c>
      <c r="C620" s="138" t="str">
        <f>TEXT(Таблица8[[#This Row],[Дата]],"М")</f>
        <v>6</v>
      </c>
      <c r="D620" s="144">
        <v>44723</v>
      </c>
      <c r="E620" s="143" t="s">
        <v>19</v>
      </c>
      <c r="F620" s="143" t="s">
        <v>96</v>
      </c>
      <c r="G620" s="147">
        <v>107</v>
      </c>
      <c r="H620" s="146"/>
      <c r="I620" s="142"/>
      <c r="J620" s="142"/>
    </row>
    <row r="621" spans="2:11" x14ac:dyDescent="0.2">
      <c r="B621" s="137">
        <f t="shared" si="9"/>
        <v>25</v>
      </c>
      <c r="C621" s="138" t="str">
        <f>TEXT(Таблица8[[#This Row],[Дата]],"М")</f>
        <v>6</v>
      </c>
      <c r="D621" s="139">
        <v>44724</v>
      </c>
      <c r="E621" s="137" t="s">
        <v>71</v>
      </c>
      <c r="F621" s="137" t="s">
        <v>94</v>
      </c>
      <c r="G621" s="140">
        <f>32*2</f>
        <v>64</v>
      </c>
      <c r="H621" s="141"/>
      <c r="I621" s="142"/>
      <c r="J621" s="142"/>
    </row>
    <row r="622" spans="2:11" x14ac:dyDescent="0.2">
      <c r="B622" s="143">
        <f t="shared" si="9"/>
        <v>25</v>
      </c>
      <c r="C622" s="138" t="str">
        <f>TEXT(Таблица8[[#This Row],[Дата]],"М")</f>
        <v>6</v>
      </c>
      <c r="D622" s="144">
        <v>44724</v>
      </c>
      <c r="E622" s="143" t="s">
        <v>20</v>
      </c>
      <c r="F622" s="143" t="s">
        <v>95</v>
      </c>
      <c r="G622" s="147">
        <v>545</v>
      </c>
      <c r="H622" s="146"/>
      <c r="I622" s="142"/>
      <c r="J622" s="142"/>
    </row>
    <row r="623" spans="2:11" x14ac:dyDescent="0.2">
      <c r="B623" s="143">
        <f t="shared" si="9"/>
        <v>25</v>
      </c>
      <c r="C623" s="138" t="str">
        <f>TEXT(Таблица8[[#This Row],[Дата]],"М")</f>
        <v>6</v>
      </c>
      <c r="D623" s="144">
        <v>44724</v>
      </c>
      <c r="E623" s="143" t="s">
        <v>19</v>
      </c>
      <c r="F623" s="143" t="s">
        <v>96</v>
      </c>
      <c r="G623" s="147">
        <f>61</f>
        <v>61</v>
      </c>
      <c r="H623" s="146"/>
      <c r="I623" s="142"/>
      <c r="J623" s="142"/>
    </row>
    <row r="624" spans="2:11" x14ac:dyDescent="0.2">
      <c r="B624" s="137">
        <f t="shared" si="9"/>
        <v>25</v>
      </c>
      <c r="C624" s="138" t="str">
        <f>TEXT(Таблица8[[#This Row],[Дата]],"М")</f>
        <v>6</v>
      </c>
      <c r="D624" s="139">
        <v>44725</v>
      </c>
      <c r="E624" s="137" t="s">
        <v>71</v>
      </c>
      <c r="F624" s="137" t="s">
        <v>94</v>
      </c>
      <c r="G624" s="140">
        <f>32*2</f>
        <v>64</v>
      </c>
      <c r="H624" s="141"/>
      <c r="I624" s="142"/>
      <c r="J624" s="142"/>
    </row>
    <row r="625" spans="2:10" x14ac:dyDescent="0.2">
      <c r="B625" s="143">
        <f t="shared" si="9"/>
        <v>25</v>
      </c>
      <c r="C625" s="138" t="str">
        <f>TEXT(Таблица8[[#This Row],[Дата]],"М")</f>
        <v>6</v>
      </c>
      <c r="D625" s="144">
        <v>44725</v>
      </c>
      <c r="E625" s="143" t="s">
        <v>19</v>
      </c>
      <c r="F625" s="143" t="s">
        <v>96</v>
      </c>
      <c r="G625" s="147">
        <v>261</v>
      </c>
      <c r="H625" s="146"/>
      <c r="I625" s="142"/>
      <c r="J625" s="142"/>
    </row>
    <row r="626" spans="2:10" x14ac:dyDescent="0.2">
      <c r="B626" s="137">
        <f t="shared" si="9"/>
        <v>25</v>
      </c>
      <c r="C626" s="138" t="str">
        <f>TEXT(Таблица8[[#This Row],[Дата]],"М")</f>
        <v>6</v>
      </c>
      <c r="D626" s="139">
        <v>44726</v>
      </c>
      <c r="E626" s="137" t="s">
        <v>20</v>
      </c>
      <c r="F626" s="137" t="s">
        <v>99</v>
      </c>
      <c r="G626" s="140">
        <v>124</v>
      </c>
      <c r="H626" s="141"/>
      <c r="I626" s="142"/>
      <c r="J626" s="142"/>
    </row>
    <row r="627" spans="2:10" x14ac:dyDescent="0.2">
      <c r="B627" s="143">
        <f t="shared" si="9"/>
        <v>25</v>
      </c>
      <c r="C627" s="138" t="str">
        <f>TEXT(Таблица8[[#This Row],[Дата]],"М")</f>
        <v>6</v>
      </c>
      <c r="D627" s="144">
        <v>44726</v>
      </c>
      <c r="E627" s="143" t="s">
        <v>20</v>
      </c>
      <c r="F627" s="143" t="s">
        <v>102</v>
      </c>
      <c r="G627" s="147">
        <v>95</v>
      </c>
      <c r="H627" s="146"/>
      <c r="I627" s="142"/>
      <c r="J627" s="142"/>
    </row>
    <row r="628" spans="2:10" x14ac:dyDescent="0.2">
      <c r="B628" s="137">
        <f t="shared" si="9"/>
        <v>25</v>
      </c>
      <c r="C628" s="138" t="str">
        <f>TEXT(Таблица8[[#This Row],[Дата]],"М")</f>
        <v>6</v>
      </c>
      <c r="D628" s="139">
        <v>44727</v>
      </c>
      <c r="E628" s="137" t="s">
        <v>20</v>
      </c>
      <c r="F628" s="137" t="s">
        <v>99</v>
      </c>
      <c r="G628" s="140">
        <f>61+27</f>
        <v>88</v>
      </c>
      <c r="H628" s="141"/>
      <c r="I628" s="142"/>
      <c r="J628" s="142"/>
    </row>
    <row r="629" spans="2:10" x14ac:dyDescent="0.2">
      <c r="B629" s="143">
        <f t="shared" si="9"/>
        <v>25</v>
      </c>
      <c r="C629" s="138" t="str">
        <f>TEXT(Таблица8[[#This Row],[Дата]],"М")</f>
        <v>6</v>
      </c>
      <c r="D629" s="144">
        <v>44727</v>
      </c>
      <c r="E629" s="143" t="s">
        <v>26</v>
      </c>
      <c r="F629" s="143" t="s">
        <v>117</v>
      </c>
      <c r="G629" s="147">
        <v>100</v>
      </c>
      <c r="H629" s="146"/>
      <c r="I629" s="142"/>
      <c r="J629" s="142"/>
    </row>
    <row r="630" spans="2:10" x14ac:dyDescent="0.2">
      <c r="B630" s="143">
        <f t="shared" si="9"/>
        <v>25</v>
      </c>
      <c r="C630" s="138" t="str">
        <f>TEXT(Таблица8[[#This Row],[Дата]],"М")</f>
        <v>6</v>
      </c>
      <c r="D630" s="144">
        <v>44727</v>
      </c>
      <c r="E630" s="143" t="s">
        <v>23</v>
      </c>
      <c r="F630" s="143" t="s">
        <v>103</v>
      </c>
      <c r="G630" s="147">
        <f>731+300</f>
        <v>1031</v>
      </c>
      <c r="H630" s="146"/>
      <c r="I630" s="142"/>
      <c r="J630" s="142"/>
    </row>
    <row r="631" spans="2:10" x14ac:dyDescent="0.2">
      <c r="B631" s="143">
        <f t="shared" si="9"/>
        <v>25</v>
      </c>
      <c r="C631" s="138" t="str">
        <f>TEXT(Таблица8[[#This Row],[Дата]],"М")</f>
        <v>6</v>
      </c>
      <c r="D631" s="144">
        <v>44727</v>
      </c>
      <c r="E631" s="143" t="s">
        <v>19</v>
      </c>
      <c r="F631" s="143" t="s">
        <v>96</v>
      </c>
      <c r="G631" s="147">
        <v>755</v>
      </c>
      <c r="H631" s="146"/>
      <c r="I631" s="142"/>
      <c r="J631" s="142"/>
    </row>
    <row r="632" spans="2:10" x14ac:dyDescent="0.2">
      <c r="B632" s="143">
        <f t="shared" si="9"/>
        <v>25</v>
      </c>
      <c r="C632" s="138" t="str">
        <f>TEXT(Таблица8[[#This Row],[Дата]],"М")</f>
        <v>6</v>
      </c>
      <c r="D632" s="144">
        <v>44727</v>
      </c>
      <c r="E632" s="143" t="s">
        <v>22</v>
      </c>
      <c r="F632" s="143" t="s">
        <v>38</v>
      </c>
      <c r="G632" s="147">
        <v>420</v>
      </c>
      <c r="H632" s="146"/>
      <c r="I632" s="142"/>
      <c r="J632" s="142"/>
    </row>
    <row r="633" spans="2:10" x14ac:dyDescent="0.2">
      <c r="B633" s="143">
        <f t="shared" si="9"/>
        <v>25</v>
      </c>
      <c r="C633" s="138" t="str">
        <f>TEXT(Таблица8[[#This Row],[Дата]],"М")</f>
        <v>6</v>
      </c>
      <c r="D633" s="144">
        <v>44727</v>
      </c>
      <c r="E633" s="143" t="s">
        <v>72</v>
      </c>
      <c r="F633" s="143" t="s">
        <v>127</v>
      </c>
      <c r="G633" s="147">
        <v>500</v>
      </c>
      <c r="H633" s="146"/>
      <c r="I633" s="142"/>
      <c r="J633" s="142"/>
    </row>
    <row r="634" spans="2:10" x14ac:dyDescent="0.2">
      <c r="B634" s="143">
        <f t="shared" si="9"/>
        <v>25</v>
      </c>
      <c r="C634" s="138" t="str">
        <f>TEXT(Таблица8[[#This Row],[Дата]],"М")</f>
        <v>6</v>
      </c>
      <c r="D634" s="144">
        <v>44727</v>
      </c>
      <c r="E634" s="143" t="s">
        <v>72</v>
      </c>
      <c r="F634" s="143" t="s">
        <v>44</v>
      </c>
      <c r="G634" s="147">
        <v>200</v>
      </c>
      <c r="H634" s="146"/>
      <c r="I634" s="142"/>
      <c r="J634" s="142"/>
    </row>
    <row r="635" spans="2:10" x14ac:dyDescent="0.2">
      <c r="B635" s="143">
        <f t="shared" si="9"/>
        <v>25</v>
      </c>
      <c r="C635" s="138" t="str">
        <f>TEXT(Таблица8[[#This Row],[Дата]],"М")</f>
        <v>6</v>
      </c>
      <c r="D635" s="144">
        <v>44727</v>
      </c>
      <c r="E635" s="143" t="s">
        <v>72</v>
      </c>
      <c r="F635" s="143" t="s">
        <v>124</v>
      </c>
      <c r="G635" s="147">
        <v>100</v>
      </c>
      <c r="H635" s="146"/>
      <c r="I635" s="142"/>
      <c r="J635" s="142"/>
    </row>
    <row r="636" spans="2:10" x14ac:dyDescent="0.2">
      <c r="B636" s="143">
        <f t="shared" si="9"/>
        <v>25</v>
      </c>
      <c r="C636" s="138" t="str">
        <f>TEXT(Таблица8[[#This Row],[Дата]],"М")</f>
        <v>6</v>
      </c>
      <c r="D636" s="144">
        <v>44728</v>
      </c>
      <c r="E636" s="143" t="s">
        <v>71</v>
      </c>
      <c r="F636" s="143" t="s">
        <v>94</v>
      </c>
      <c r="G636" s="147">
        <v>32</v>
      </c>
      <c r="H636" s="146"/>
      <c r="I636" s="142"/>
      <c r="J636" s="142"/>
    </row>
    <row r="637" spans="2:10" x14ac:dyDescent="0.2">
      <c r="B637" s="143">
        <f t="shared" si="9"/>
        <v>25</v>
      </c>
      <c r="C637" s="138" t="str">
        <f>TEXT(Таблица8[[#This Row],[Дата]],"М")</f>
        <v>6</v>
      </c>
      <c r="D637" s="144">
        <v>44728</v>
      </c>
      <c r="E637" s="143" t="s">
        <v>71</v>
      </c>
      <c r="F637" s="143" t="s">
        <v>91</v>
      </c>
      <c r="G637" s="147">
        <v>231</v>
      </c>
      <c r="H637" s="146"/>
      <c r="I637" s="142"/>
      <c r="J637" s="142"/>
    </row>
    <row r="638" spans="2:10" x14ac:dyDescent="0.2">
      <c r="B638" s="143">
        <f t="shared" si="9"/>
        <v>25</v>
      </c>
      <c r="C638" s="138" t="str">
        <f>TEXT(Таблица8[[#This Row],[Дата]],"М")</f>
        <v>6</v>
      </c>
      <c r="D638" s="144">
        <v>44728</v>
      </c>
      <c r="E638" s="143" t="s">
        <v>20</v>
      </c>
      <c r="F638" s="143" t="s">
        <v>99</v>
      </c>
      <c r="G638" s="147">
        <v>106</v>
      </c>
      <c r="H638" s="146"/>
      <c r="I638" s="142"/>
      <c r="J638" s="142"/>
    </row>
    <row r="639" spans="2:10" x14ac:dyDescent="0.2">
      <c r="B639" s="143">
        <f t="shared" ref="B639:B702" si="10">WEEKNUM(D639)</f>
        <v>25</v>
      </c>
      <c r="C639" s="138" t="str">
        <f>TEXT(Таблица8[[#This Row],[Дата]],"М")</f>
        <v>6</v>
      </c>
      <c r="D639" s="144">
        <v>44728</v>
      </c>
      <c r="E639" s="143" t="s">
        <v>26</v>
      </c>
      <c r="F639" s="143" t="s">
        <v>117</v>
      </c>
      <c r="G639" s="147">
        <v>100</v>
      </c>
      <c r="H639" s="146"/>
      <c r="I639" s="142"/>
      <c r="J639" s="142"/>
    </row>
    <row r="640" spans="2:10" x14ac:dyDescent="0.2">
      <c r="B640" s="137">
        <f t="shared" si="10"/>
        <v>25</v>
      </c>
      <c r="C640" s="138" t="str">
        <f>TEXT(Таблица8[[#This Row],[Дата]],"М")</f>
        <v>6</v>
      </c>
      <c r="D640" s="139">
        <v>44729</v>
      </c>
      <c r="E640" s="137" t="s">
        <v>20</v>
      </c>
      <c r="F640" s="137" t="s">
        <v>99</v>
      </c>
      <c r="G640" s="140">
        <v>275</v>
      </c>
      <c r="H640" s="141"/>
      <c r="I640" s="142"/>
      <c r="J640" s="142"/>
    </row>
    <row r="641" spans="2:10" x14ac:dyDescent="0.2">
      <c r="B641" s="143">
        <f t="shared" si="10"/>
        <v>25</v>
      </c>
      <c r="C641" s="138" t="str">
        <f>TEXT(Таблица8[[#This Row],[Дата]],"М")</f>
        <v>6</v>
      </c>
      <c r="D641" s="144">
        <v>44729</v>
      </c>
      <c r="E641" s="143" t="s">
        <v>20</v>
      </c>
      <c r="F641" s="143" t="s">
        <v>102</v>
      </c>
      <c r="G641" s="147">
        <v>60</v>
      </c>
      <c r="H641" s="146"/>
      <c r="I641" s="142"/>
      <c r="J641" s="142"/>
    </row>
    <row r="642" spans="2:10" x14ac:dyDescent="0.2">
      <c r="B642" s="143">
        <f t="shared" si="10"/>
        <v>25</v>
      </c>
      <c r="C642" s="138" t="str">
        <f>TEXT(Таблица8[[#This Row],[Дата]],"М")</f>
        <v>6</v>
      </c>
      <c r="D642" s="144">
        <v>44729</v>
      </c>
      <c r="E642" s="143" t="s">
        <v>19</v>
      </c>
      <c r="F642" s="143" t="s">
        <v>96</v>
      </c>
      <c r="G642" s="147">
        <f>105+80+224</f>
        <v>409</v>
      </c>
      <c r="H642" s="146"/>
      <c r="I642" s="142"/>
      <c r="J642" s="142"/>
    </row>
    <row r="643" spans="2:10" x14ac:dyDescent="0.2">
      <c r="B643" s="143">
        <f t="shared" si="10"/>
        <v>25</v>
      </c>
      <c r="C643" s="138" t="str">
        <f>TEXT(Таблица8[[#This Row],[Дата]],"М")</f>
        <v>6</v>
      </c>
      <c r="D643" s="144">
        <v>44729</v>
      </c>
      <c r="E643" s="143" t="s">
        <v>20</v>
      </c>
      <c r="F643" s="143" t="s">
        <v>118</v>
      </c>
      <c r="G643" s="147">
        <v>31</v>
      </c>
      <c r="H643" s="146"/>
      <c r="I643" s="142"/>
      <c r="J643" s="142"/>
    </row>
    <row r="644" spans="2:10" x14ac:dyDescent="0.2">
      <c r="B644" s="137">
        <f t="shared" si="10"/>
        <v>25</v>
      </c>
      <c r="C644" s="138" t="str">
        <f>TEXT(Таблица8[[#This Row],[Дата]],"М")</f>
        <v>6</v>
      </c>
      <c r="D644" s="139">
        <v>44730</v>
      </c>
      <c r="E644" s="137" t="s">
        <v>71</v>
      </c>
      <c r="F644" s="137" t="s">
        <v>94</v>
      </c>
      <c r="G644" s="140">
        <f>32</f>
        <v>32</v>
      </c>
      <c r="H644" s="141"/>
      <c r="I644" s="142"/>
      <c r="J644" s="142"/>
    </row>
    <row r="645" spans="2:10" x14ac:dyDescent="0.2">
      <c r="B645" s="143">
        <f t="shared" si="10"/>
        <v>25</v>
      </c>
      <c r="C645" s="138" t="str">
        <f>TEXT(Таблица8[[#This Row],[Дата]],"М")</f>
        <v>6</v>
      </c>
      <c r="D645" s="144">
        <v>44730</v>
      </c>
      <c r="E645" s="143" t="s">
        <v>20</v>
      </c>
      <c r="F645" s="143" t="s">
        <v>99</v>
      </c>
      <c r="G645" s="147">
        <f>110+132</f>
        <v>242</v>
      </c>
      <c r="H645" s="146"/>
      <c r="I645" s="142"/>
      <c r="J645" s="142"/>
    </row>
    <row r="646" spans="2:10" x14ac:dyDescent="0.2">
      <c r="B646" s="143">
        <f t="shared" si="10"/>
        <v>25</v>
      </c>
      <c r="C646" s="138" t="str">
        <f>TEXT(Таблица8[[#This Row],[Дата]],"М")</f>
        <v>6</v>
      </c>
      <c r="D646" s="144">
        <v>44730</v>
      </c>
      <c r="E646" s="143" t="s">
        <v>19</v>
      </c>
      <c r="F646" s="143" t="s">
        <v>116</v>
      </c>
      <c r="G646" s="147">
        <v>90</v>
      </c>
      <c r="H646" s="146"/>
      <c r="I646" s="142"/>
      <c r="J646" s="142"/>
    </row>
    <row r="647" spans="2:10" x14ac:dyDescent="0.2">
      <c r="B647" s="137">
        <f t="shared" si="10"/>
        <v>26</v>
      </c>
      <c r="C647" s="138" t="str">
        <f>TEXT(Таблица8[[#This Row],[Дата]],"М")</f>
        <v>6</v>
      </c>
      <c r="D647" s="139">
        <v>44731</v>
      </c>
      <c r="E647" s="137" t="s">
        <v>71</v>
      </c>
      <c r="F647" s="137" t="s">
        <v>91</v>
      </c>
      <c r="G647" s="140">
        <f>241+20+256+10</f>
        <v>527</v>
      </c>
      <c r="H647" s="141"/>
      <c r="I647" s="142"/>
      <c r="J647" s="142"/>
    </row>
    <row r="648" spans="2:10" x14ac:dyDescent="0.2">
      <c r="B648" s="143">
        <f t="shared" si="10"/>
        <v>26</v>
      </c>
      <c r="C648" s="138" t="str">
        <f>TEXT(Таблица8[[#This Row],[Дата]],"М")</f>
        <v>6</v>
      </c>
      <c r="D648" s="144">
        <v>44731</v>
      </c>
      <c r="E648" s="143" t="s">
        <v>20</v>
      </c>
      <c r="F648" s="143" t="s">
        <v>102</v>
      </c>
      <c r="G648" s="147">
        <v>90</v>
      </c>
      <c r="H648" s="146"/>
      <c r="I648" s="142"/>
      <c r="J648" s="142"/>
    </row>
    <row r="649" spans="2:10" x14ac:dyDescent="0.2">
      <c r="B649" s="137">
        <f t="shared" si="10"/>
        <v>26</v>
      </c>
      <c r="C649" s="138" t="str">
        <f>TEXT(Таблица8[[#This Row],[Дата]],"М")</f>
        <v>6</v>
      </c>
      <c r="D649" s="139">
        <v>44732</v>
      </c>
      <c r="E649" s="137" t="s">
        <v>20</v>
      </c>
      <c r="F649" s="137" t="s">
        <v>99</v>
      </c>
      <c r="G649" s="140">
        <v>71</v>
      </c>
      <c r="H649" s="141"/>
      <c r="I649" s="142"/>
      <c r="J649" s="142"/>
    </row>
    <row r="650" spans="2:10" x14ac:dyDescent="0.2">
      <c r="B650" s="143">
        <f t="shared" si="10"/>
        <v>26</v>
      </c>
      <c r="C650" s="138" t="str">
        <f>TEXT(Таблица8[[#This Row],[Дата]],"М")</f>
        <v>6</v>
      </c>
      <c r="D650" s="144">
        <v>44732</v>
      </c>
      <c r="E650" s="143" t="s">
        <v>29</v>
      </c>
      <c r="F650" s="143" t="s">
        <v>107</v>
      </c>
      <c r="G650" s="147">
        <v>100</v>
      </c>
      <c r="H650" s="146"/>
      <c r="I650" s="142"/>
      <c r="J650" s="142"/>
    </row>
    <row r="651" spans="2:10" x14ac:dyDescent="0.2">
      <c r="B651" s="143">
        <f t="shared" si="10"/>
        <v>26</v>
      </c>
      <c r="C651" s="138" t="str">
        <f>TEXT(Таблица8[[#This Row],[Дата]],"М")</f>
        <v>6</v>
      </c>
      <c r="D651" s="144">
        <v>44732</v>
      </c>
      <c r="E651" s="143" t="s">
        <v>27</v>
      </c>
      <c r="F651" s="143"/>
      <c r="G651" s="147">
        <v>100</v>
      </c>
      <c r="H651" s="146"/>
      <c r="I651" s="142"/>
      <c r="J651" s="142"/>
    </row>
    <row r="652" spans="2:10" x14ac:dyDescent="0.2">
      <c r="B652" s="143">
        <f t="shared" si="10"/>
        <v>26</v>
      </c>
      <c r="C652" s="138" t="str">
        <f>TEXT(Таблица8[[#This Row],[Дата]],"М")</f>
        <v>6</v>
      </c>
      <c r="D652" s="144">
        <v>44732</v>
      </c>
      <c r="E652" s="143" t="s">
        <v>19</v>
      </c>
      <c r="F652" s="143" t="s">
        <v>116</v>
      </c>
      <c r="G652" s="147">
        <f>47+274</f>
        <v>321</v>
      </c>
      <c r="H652" s="146"/>
      <c r="I652" s="142"/>
      <c r="J652" s="142"/>
    </row>
    <row r="653" spans="2:10" x14ac:dyDescent="0.2">
      <c r="B653" s="137">
        <f t="shared" si="10"/>
        <v>26</v>
      </c>
      <c r="C653" s="138" t="str">
        <f>TEXT(Таблица8[[#This Row],[Дата]],"М")</f>
        <v>6</v>
      </c>
      <c r="D653" s="139">
        <v>44733</v>
      </c>
      <c r="E653" s="137" t="s">
        <v>71</v>
      </c>
      <c r="F653" s="137" t="s">
        <v>94</v>
      </c>
      <c r="G653" s="140">
        <v>32</v>
      </c>
      <c r="H653" s="141"/>
      <c r="I653" s="142"/>
      <c r="J653" s="142"/>
    </row>
    <row r="654" spans="2:10" x14ac:dyDescent="0.2">
      <c r="B654" s="143">
        <f t="shared" si="10"/>
        <v>26</v>
      </c>
      <c r="C654" s="138" t="str">
        <f>TEXT(Таблица8[[#This Row],[Дата]],"М")</f>
        <v>6</v>
      </c>
      <c r="D654" s="144">
        <v>44733</v>
      </c>
      <c r="E654" s="143" t="s">
        <v>20</v>
      </c>
      <c r="F654" s="143" t="s">
        <v>99</v>
      </c>
      <c r="G654" s="147">
        <v>109</v>
      </c>
      <c r="H654" s="146"/>
      <c r="I654" s="142"/>
      <c r="J654" s="142"/>
    </row>
    <row r="655" spans="2:10" x14ac:dyDescent="0.2">
      <c r="B655" s="143">
        <f t="shared" si="10"/>
        <v>26</v>
      </c>
      <c r="C655" s="138" t="str">
        <f>TEXT(Таблица8[[#This Row],[Дата]],"М")</f>
        <v>6</v>
      </c>
      <c r="D655" s="144">
        <v>44733</v>
      </c>
      <c r="E655" s="143" t="s">
        <v>19</v>
      </c>
      <c r="F655" s="143" t="s">
        <v>116</v>
      </c>
      <c r="G655" s="147">
        <f>165+95</f>
        <v>260</v>
      </c>
      <c r="H655" s="146"/>
      <c r="I655" s="142"/>
      <c r="J655" s="142"/>
    </row>
    <row r="656" spans="2:10" x14ac:dyDescent="0.2">
      <c r="B656" s="137">
        <f t="shared" si="10"/>
        <v>26</v>
      </c>
      <c r="C656" s="138" t="str">
        <f>TEXT(Таблица8[[#This Row],[Дата]],"М")</f>
        <v>6</v>
      </c>
      <c r="D656" s="139">
        <v>44734</v>
      </c>
      <c r="E656" s="137" t="s">
        <v>20</v>
      </c>
      <c r="F656" s="137" t="s">
        <v>99</v>
      </c>
      <c r="G656" s="140">
        <v>103</v>
      </c>
      <c r="H656" s="141"/>
      <c r="I656" s="142"/>
      <c r="J656" s="142"/>
    </row>
    <row r="657" spans="2:10" x14ac:dyDescent="0.2">
      <c r="B657" s="143">
        <f t="shared" si="10"/>
        <v>26</v>
      </c>
      <c r="C657" s="138" t="str">
        <f>TEXT(Таблица8[[#This Row],[Дата]],"М")</f>
        <v>6</v>
      </c>
      <c r="D657" s="144">
        <v>44734</v>
      </c>
      <c r="E657" s="143" t="s">
        <v>19</v>
      </c>
      <c r="F657" s="143" t="s">
        <v>96</v>
      </c>
      <c r="G657" s="147">
        <f>94+125</f>
        <v>219</v>
      </c>
      <c r="H657" s="146"/>
      <c r="I657" s="142"/>
      <c r="J657" s="142"/>
    </row>
    <row r="658" spans="2:10" x14ac:dyDescent="0.2">
      <c r="B658" s="137">
        <f t="shared" si="10"/>
        <v>26</v>
      </c>
      <c r="C658" s="138" t="str">
        <f>TEXT(Таблица8[[#This Row],[Дата]],"М")</f>
        <v>6</v>
      </c>
      <c r="D658" s="139">
        <v>44735</v>
      </c>
      <c r="E658" s="137" t="s">
        <v>29</v>
      </c>
      <c r="F658" s="137" t="s">
        <v>105</v>
      </c>
      <c r="G658" s="140">
        <v>310</v>
      </c>
      <c r="H658" s="141"/>
      <c r="I658" s="142"/>
      <c r="J658" s="142"/>
    </row>
    <row r="659" spans="2:10" x14ac:dyDescent="0.2">
      <c r="B659" s="143">
        <f t="shared" si="10"/>
        <v>26</v>
      </c>
      <c r="C659" s="138" t="str">
        <f>TEXT(Таблица8[[#This Row],[Дата]],"М")</f>
        <v>6</v>
      </c>
      <c r="D659" s="144">
        <v>44735</v>
      </c>
      <c r="E659" s="143" t="s">
        <v>20</v>
      </c>
      <c r="F659" s="143" t="s">
        <v>99</v>
      </c>
      <c r="G659" s="147">
        <v>180</v>
      </c>
      <c r="H659" s="146"/>
      <c r="I659" s="142"/>
      <c r="J659" s="142"/>
    </row>
    <row r="660" spans="2:10" x14ac:dyDescent="0.2">
      <c r="B660" s="143">
        <f t="shared" si="10"/>
        <v>26</v>
      </c>
      <c r="C660" s="138" t="str">
        <f>TEXT(Таблица8[[#This Row],[Дата]],"М")</f>
        <v>6</v>
      </c>
      <c r="D660" s="144">
        <v>44735</v>
      </c>
      <c r="E660" s="143" t="s">
        <v>72</v>
      </c>
      <c r="F660" s="143" t="s">
        <v>124</v>
      </c>
      <c r="G660" s="147">
        <v>500</v>
      </c>
      <c r="H660" s="146" t="s">
        <v>128</v>
      </c>
      <c r="I660" s="142"/>
      <c r="J660" s="142"/>
    </row>
    <row r="661" spans="2:10" x14ac:dyDescent="0.2">
      <c r="B661" s="143">
        <f t="shared" si="10"/>
        <v>26</v>
      </c>
      <c r="C661" s="138" t="str">
        <f>TEXT(Таблица8[[#This Row],[Дата]],"М")</f>
        <v>6</v>
      </c>
      <c r="D661" s="144">
        <v>44735</v>
      </c>
      <c r="E661" s="143" t="s">
        <v>72</v>
      </c>
      <c r="F661" s="143" t="s">
        <v>124</v>
      </c>
      <c r="G661" s="147">
        <v>100</v>
      </c>
      <c r="H661" s="146"/>
      <c r="I661" s="142"/>
      <c r="J661" s="142"/>
    </row>
    <row r="662" spans="2:10" x14ac:dyDescent="0.2">
      <c r="B662" s="143">
        <f t="shared" si="10"/>
        <v>26</v>
      </c>
      <c r="C662" s="138" t="str">
        <f>TEXT(Таблица8[[#This Row],[Дата]],"М")</f>
        <v>6</v>
      </c>
      <c r="D662" s="144">
        <v>44735</v>
      </c>
      <c r="E662" s="143" t="s">
        <v>72</v>
      </c>
      <c r="F662" s="143" t="s">
        <v>127</v>
      </c>
      <c r="G662" s="147">
        <v>100</v>
      </c>
      <c r="H662" s="146"/>
      <c r="I662" s="142"/>
      <c r="J662" s="142"/>
    </row>
    <row r="663" spans="2:10" x14ac:dyDescent="0.2">
      <c r="B663" s="143">
        <f t="shared" si="10"/>
        <v>26</v>
      </c>
      <c r="C663" s="138" t="str">
        <f>TEXT(Таблица8[[#This Row],[Дата]],"М")</f>
        <v>6</v>
      </c>
      <c r="D663" s="144">
        <v>44735</v>
      </c>
      <c r="E663" s="143" t="s">
        <v>20</v>
      </c>
      <c r="F663" s="143" t="s">
        <v>95</v>
      </c>
      <c r="G663" s="147">
        <v>37</v>
      </c>
      <c r="H663" s="146"/>
      <c r="I663" s="142"/>
      <c r="J663" s="142"/>
    </row>
    <row r="664" spans="2:10" x14ac:dyDescent="0.2">
      <c r="B664" s="143">
        <f t="shared" si="10"/>
        <v>26</v>
      </c>
      <c r="C664" s="138" t="str">
        <f>TEXT(Таблица8[[#This Row],[Дата]],"М")</f>
        <v>6</v>
      </c>
      <c r="D664" s="144">
        <v>44735</v>
      </c>
      <c r="E664" s="143" t="s">
        <v>71</v>
      </c>
      <c r="F664" s="143" t="s">
        <v>108</v>
      </c>
      <c r="G664" s="147">
        <v>32</v>
      </c>
      <c r="H664" s="146"/>
      <c r="I664" s="142"/>
      <c r="J664" s="142"/>
    </row>
    <row r="665" spans="2:10" x14ac:dyDescent="0.2">
      <c r="B665" s="143">
        <f t="shared" si="10"/>
        <v>26</v>
      </c>
      <c r="C665" s="138" t="str">
        <f>TEXT(Таблица8[[#This Row],[Дата]],"М")</f>
        <v>6</v>
      </c>
      <c r="D665" s="144">
        <v>44735</v>
      </c>
      <c r="E665" s="143" t="s">
        <v>71</v>
      </c>
      <c r="F665" s="143" t="s">
        <v>94</v>
      </c>
      <c r="G665" s="147">
        <v>32</v>
      </c>
      <c r="H665" s="146"/>
      <c r="I665" s="142"/>
      <c r="J665" s="142"/>
    </row>
    <row r="666" spans="2:10" x14ac:dyDescent="0.2">
      <c r="B666" s="143">
        <f t="shared" si="10"/>
        <v>26</v>
      </c>
      <c r="C666" s="138" t="str">
        <f>TEXT(Таблица8[[#This Row],[Дата]],"М")</f>
        <v>6</v>
      </c>
      <c r="D666" s="144">
        <v>44735</v>
      </c>
      <c r="E666" s="143" t="s">
        <v>30</v>
      </c>
      <c r="F666" s="143" t="s">
        <v>92</v>
      </c>
      <c r="G666" s="147">
        <v>710</v>
      </c>
      <c r="H666" s="146"/>
      <c r="I666" s="142"/>
      <c r="J666" s="142"/>
    </row>
    <row r="667" spans="2:10" x14ac:dyDescent="0.2">
      <c r="B667" s="143">
        <f t="shared" si="10"/>
        <v>26</v>
      </c>
      <c r="C667" s="138" t="str">
        <f>TEXT(Таблица8[[#This Row],[Дата]],"М")</f>
        <v>6</v>
      </c>
      <c r="D667" s="144">
        <v>44735</v>
      </c>
      <c r="E667" s="143" t="s">
        <v>19</v>
      </c>
      <c r="F667" s="143" t="s">
        <v>96</v>
      </c>
      <c r="G667" s="147">
        <v>107</v>
      </c>
      <c r="H667" s="146"/>
      <c r="I667" s="142"/>
      <c r="J667" s="142"/>
    </row>
    <row r="668" spans="2:10" x14ac:dyDescent="0.2">
      <c r="B668" s="137">
        <f t="shared" si="10"/>
        <v>26</v>
      </c>
      <c r="C668" s="138" t="str">
        <f>TEXT(Таблица8[[#This Row],[Дата]],"М")</f>
        <v>6</v>
      </c>
      <c r="D668" s="139">
        <v>44736</v>
      </c>
      <c r="E668" s="137" t="s">
        <v>71</v>
      </c>
      <c r="F668" s="137" t="s">
        <v>94</v>
      </c>
      <c r="G668" s="140">
        <v>32</v>
      </c>
      <c r="H668" s="141"/>
      <c r="I668" s="142"/>
      <c r="J668" s="142"/>
    </row>
    <row r="669" spans="2:10" x14ac:dyDescent="0.2">
      <c r="B669" s="143">
        <f t="shared" si="10"/>
        <v>26</v>
      </c>
      <c r="C669" s="138" t="str">
        <f>TEXT(Таблица8[[#This Row],[Дата]],"М")</f>
        <v>6</v>
      </c>
      <c r="D669" s="144">
        <v>44736</v>
      </c>
      <c r="E669" s="143" t="s">
        <v>20</v>
      </c>
      <c r="F669" s="143" t="s">
        <v>99</v>
      </c>
      <c r="G669" s="147">
        <f>62+80</f>
        <v>142</v>
      </c>
      <c r="H669" s="146"/>
      <c r="I669" s="142"/>
      <c r="J669" s="142"/>
    </row>
    <row r="670" spans="2:10" x14ac:dyDescent="0.2">
      <c r="B670" s="143">
        <f t="shared" si="10"/>
        <v>26</v>
      </c>
      <c r="C670" s="138" t="str">
        <f>TEXT(Таблица8[[#This Row],[Дата]],"М")</f>
        <v>6</v>
      </c>
      <c r="D670" s="144">
        <v>44736</v>
      </c>
      <c r="E670" s="143" t="s">
        <v>19</v>
      </c>
      <c r="F670" s="143" t="s">
        <v>116</v>
      </c>
      <c r="G670" s="147">
        <v>95</v>
      </c>
      <c r="H670" s="146"/>
      <c r="I670" s="142"/>
      <c r="J670" s="142"/>
    </row>
    <row r="671" spans="2:10" x14ac:dyDescent="0.2">
      <c r="B671" s="143">
        <f t="shared" si="10"/>
        <v>26</v>
      </c>
      <c r="C671" s="138" t="str">
        <f>TEXT(Таблица8[[#This Row],[Дата]],"М")</f>
        <v>6</v>
      </c>
      <c r="D671" s="144">
        <v>44736</v>
      </c>
      <c r="E671" s="143" t="s">
        <v>23</v>
      </c>
      <c r="F671" s="143" t="s">
        <v>129</v>
      </c>
      <c r="G671" s="147">
        <v>144</v>
      </c>
      <c r="H671" s="146"/>
      <c r="I671" s="142"/>
      <c r="J671" s="142"/>
    </row>
    <row r="672" spans="2:10" x14ac:dyDescent="0.2">
      <c r="B672" s="137">
        <f t="shared" si="10"/>
        <v>26</v>
      </c>
      <c r="C672" s="138" t="str">
        <f>TEXT(Таблица8[[#This Row],[Дата]],"М")</f>
        <v>6</v>
      </c>
      <c r="D672" s="139">
        <v>44737</v>
      </c>
      <c r="E672" s="137" t="s">
        <v>29</v>
      </c>
      <c r="F672" s="137" t="s">
        <v>105</v>
      </c>
      <c r="G672" s="140">
        <v>25</v>
      </c>
      <c r="H672" s="141"/>
      <c r="I672" s="142"/>
      <c r="J672" s="142"/>
    </row>
    <row r="673" spans="2:10" x14ac:dyDescent="0.2">
      <c r="B673" s="143">
        <f t="shared" si="10"/>
        <v>26</v>
      </c>
      <c r="C673" s="138" t="str">
        <f>TEXT(Таблица8[[#This Row],[Дата]],"М")</f>
        <v>6</v>
      </c>
      <c r="D673" s="144">
        <v>44737</v>
      </c>
      <c r="E673" s="143" t="s">
        <v>71</v>
      </c>
      <c r="F673" s="143" t="s">
        <v>91</v>
      </c>
      <c r="G673" s="147">
        <v>383</v>
      </c>
      <c r="H673" s="146"/>
      <c r="I673" s="142"/>
      <c r="J673" s="142"/>
    </row>
    <row r="674" spans="2:10" x14ac:dyDescent="0.2">
      <c r="B674" s="143">
        <f t="shared" si="10"/>
        <v>26</v>
      </c>
      <c r="C674" s="138" t="str">
        <f>TEXT(Таблица8[[#This Row],[Дата]],"М")</f>
        <v>6</v>
      </c>
      <c r="D674" s="144">
        <v>44737</v>
      </c>
      <c r="E674" s="143" t="s">
        <v>20</v>
      </c>
      <c r="F674" s="143" t="s">
        <v>95</v>
      </c>
      <c r="G674" s="147">
        <v>400</v>
      </c>
      <c r="H674" s="146"/>
      <c r="I674" s="142"/>
      <c r="J674" s="142"/>
    </row>
    <row r="675" spans="2:10" x14ac:dyDescent="0.2">
      <c r="B675" s="143">
        <f t="shared" si="10"/>
        <v>26</v>
      </c>
      <c r="C675" s="138" t="str">
        <f>TEXT(Таблица8[[#This Row],[Дата]],"М")</f>
        <v>6</v>
      </c>
      <c r="D675" s="144">
        <v>44737</v>
      </c>
      <c r="E675" s="143" t="s">
        <v>71</v>
      </c>
      <c r="F675" s="143" t="s">
        <v>91</v>
      </c>
      <c r="G675" s="147">
        <v>150</v>
      </c>
      <c r="H675" s="146"/>
      <c r="I675" s="142"/>
      <c r="J675" s="142"/>
    </row>
    <row r="676" spans="2:10" x14ac:dyDescent="0.2">
      <c r="B676" s="137">
        <f t="shared" si="10"/>
        <v>27</v>
      </c>
      <c r="C676" s="138" t="str">
        <f>TEXT(Таблица8[[#This Row],[Дата]],"М")</f>
        <v>6</v>
      </c>
      <c r="D676" s="139">
        <v>44738</v>
      </c>
      <c r="E676" s="137" t="s">
        <v>71</v>
      </c>
      <c r="F676" s="137" t="s">
        <v>94</v>
      </c>
      <c r="G676" s="140">
        <f>64</f>
        <v>64</v>
      </c>
      <c r="H676" s="141"/>
      <c r="I676" s="142"/>
      <c r="J676" s="142"/>
    </row>
    <row r="677" spans="2:10" x14ac:dyDescent="0.2">
      <c r="B677" s="143">
        <f t="shared" si="10"/>
        <v>27</v>
      </c>
      <c r="C677" s="138" t="str">
        <f>TEXT(Таблица8[[#This Row],[Дата]],"М")</f>
        <v>6</v>
      </c>
      <c r="D677" s="144">
        <v>44738</v>
      </c>
      <c r="E677" s="143" t="s">
        <v>22</v>
      </c>
      <c r="F677" s="143" t="s">
        <v>104</v>
      </c>
      <c r="G677" s="147">
        <f>900+300+600</f>
        <v>1800</v>
      </c>
      <c r="H677" s="146"/>
      <c r="I677" s="142"/>
      <c r="J677" s="142"/>
    </row>
    <row r="678" spans="2:10" x14ac:dyDescent="0.2">
      <c r="B678" s="143">
        <f t="shared" si="10"/>
        <v>27</v>
      </c>
      <c r="C678" s="138" t="str">
        <f>TEXT(Таблица8[[#This Row],[Дата]],"М")</f>
        <v>6</v>
      </c>
      <c r="D678" s="144">
        <v>44738</v>
      </c>
      <c r="E678" s="143" t="s">
        <v>20</v>
      </c>
      <c r="F678" s="143" t="s">
        <v>95</v>
      </c>
      <c r="G678" s="147">
        <v>90</v>
      </c>
      <c r="H678" s="146"/>
      <c r="I678" s="142"/>
      <c r="J678" s="142"/>
    </row>
    <row r="679" spans="2:10" x14ac:dyDescent="0.2">
      <c r="B679" s="143">
        <f t="shared" si="10"/>
        <v>27</v>
      </c>
      <c r="C679" s="138" t="str">
        <f>TEXT(Таблица8[[#This Row],[Дата]],"М")</f>
        <v>6</v>
      </c>
      <c r="D679" s="144">
        <v>44738</v>
      </c>
      <c r="E679" s="143" t="s">
        <v>71</v>
      </c>
      <c r="F679" s="143" t="s">
        <v>91</v>
      </c>
      <c r="G679" s="147">
        <v>327</v>
      </c>
      <c r="H679" s="146"/>
      <c r="I679" s="142"/>
      <c r="J679" s="142"/>
    </row>
    <row r="680" spans="2:10" x14ac:dyDescent="0.2">
      <c r="B680" s="137">
        <f t="shared" si="10"/>
        <v>27</v>
      </c>
      <c r="C680" s="138" t="str">
        <f>TEXT(Таблица8[[#This Row],[Дата]],"М")</f>
        <v>6</v>
      </c>
      <c r="D680" s="139">
        <v>44739</v>
      </c>
      <c r="E680" s="137" t="s">
        <v>20</v>
      </c>
      <c r="F680" s="137" t="s">
        <v>99</v>
      </c>
      <c r="G680" s="140">
        <v>150</v>
      </c>
      <c r="H680" s="141"/>
      <c r="I680" s="142"/>
      <c r="J680" s="142"/>
    </row>
    <row r="681" spans="2:10" x14ac:dyDescent="0.2">
      <c r="B681" s="143">
        <f t="shared" si="10"/>
        <v>27</v>
      </c>
      <c r="C681" s="138" t="str">
        <f>TEXT(Таблица8[[#This Row],[Дата]],"М")</f>
        <v>6</v>
      </c>
      <c r="D681" s="144">
        <v>44739</v>
      </c>
      <c r="E681" s="143" t="s">
        <v>20</v>
      </c>
      <c r="F681" s="143" t="s">
        <v>95</v>
      </c>
      <c r="G681" s="147">
        <v>205</v>
      </c>
      <c r="H681" s="146"/>
      <c r="I681" s="142"/>
      <c r="J681" s="142"/>
    </row>
    <row r="682" spans="2:10" x14ac:dyDescent="0.2">
      <c r="B682" s="137">
        <f t="shared" si="10"/>
        <v>27</v>
      </c>
      <c r="C682" s="138" t="str">
        <f>TEXT(Таблица8[[#This Row],[Дата]],"М")</f>
        <v>6</v>
      </c>
      <c r="D682" s="139">
        <v>44740</v>
      </c>
      <c r="E682" s="137" t="s">
        <v>71</v>
      </c>
      <c r="F682" s="137" t="s">
        <v>94</v>
      </c>
      <c r="G682" s="140">
        <f>32*4</f>
        <v>128</v>
      </c>
      <c r="H682" s="141"/>
      <c r="I682" s="142"/>
      <c r="J682" s="142"/>
    </row>
    <row r="683" spans="2:10" x14ac:dyDescent="0.2">
      <c r="B683" s="143">
        <f t="shared" si="10"/>
        <v>27</v>
      </c>
      <c r="C683" s="138" t="str">
        <f>TEXT(Таблица8[[#This Row],[Дата]],"М")</f>
        <v>6</v>
      </c>
      <c r="D683" s="144">
        <v>44740</v>
      </c>
      <c r="E683" s="143" t="s">
        <v>20</v>
      </c>
      <c r="F683" s="143" t="s">
        <v>99</v>
      </c>
      <c r="G683" s="147">
        <f>56+165+60</f>
        <v>281</v>
      </c>
      <c r="H683" s="146"/>
      <c r="I683" s="142"/>
      <c r="J683" s="142"/>
    </row>
    <row r="684" spans="2:10" x14ac:dyDescent="0.2">
      <c r="B684" s="143">
        <f t="shared" si="10"/>
        <v>27</v>
      </c>
      <c r="C684" s="138" t="str">
        <f>TEXT(Таблица8[[#This Row],[Дата]],"М")</f>
        <v>6</v>
      </c>
      <c r="D684" s="144">
        <v>44740</v>
      </c>
      <c r="E684" s="143" t="s">
        <v>20</v>
      </c>
      <c r="F684" s="143" t="s">
        <v>118</v>
      </c>
      <c r="G684" s="147">
        <v>140</v>
      </c>
      <c r="H684" s="146"/>
      <c r="I684" s="142"/>
      <c r="J684" s="142"/>
    </row>
    <row r="685" spans="2:10" x14ac:dyDescent="0.2">
      <c r="B685" s="137">
        <f t="shared" si="10"/>
        <v>27</v>
      </c>
      <c r="C685" s="138" t="str">
        <f>TEXT(Таблица8[[#This Row],[Дата]],"М")</f>
        <v>6</v>
      </c>
      <c r="D685" s="139">
        <v>44741</v>
      </c>
      <c r="E685" s="137" t="s">
        <v>20</v>
      </c>
      <c r="F685" s="137" t="s">
        <v>99</v>
      </c>
      <c r="G685" s="140">
        <f>275+27</f>
        <v>302</v>
      </c>
      <c r="H685" s="141"/>
      <c r="I685" s="142"/>
      <c r="J685" s="142"/>
    </row>
    <row r="686" spans="2:10" x14ac:dyDescent="0.2">
      <c r="B686" s="143">
        <f t="shared" si="10"/>
        <v>27</v>
      </c>
      <c r="C686" s="138" t="str">
        <f>TEXT(Таблица8[[#This Row],[Дата]],"М")</f>
        <v>6</v>
      </c>
      <c r="D686" s="144">
        <v>44741</v>
      </c>
      <c r="E686" s="143" t="s">
        <v>22</v>
      </c>
      <c r="F686" s="143" t="s">
        <v>38</v>
      </c>
      <c r="G686" s="147">
        <v>100</v>
      </c>
      <c r="H686" s="146"/>
      <c r="I686" s="142"/>
      <c r="J686" s="142"/>
    </row>
    <row r="687" spans="2:10" x14ac:dyDescent="0.2">
      <c r="B687" s="143">
        <f t="shared" si="10"/>
        <v>27</v>
      </c>
      <c r="C687" s="138" t="str">
        <f>TEXT(Таблица8[[#This Row],[Дата]],"М")</f>
        <v>6</v>
      </c>
      <c r="D687" s="144">
        <v>44741</v>
      </c>
      <c r="E687" s="143" t="s">
        <v>72</v>
      </c>
      <c r="F687" s="143" t="s">
        <v>127</v>
      </c>
      <c r="G687" s="147">
        <v>50</v>
      </c>
      <c r="H687" s="146" t="s">
        <v>130</v>
      </c>
      <c r="I687" s="142"/>
      <c r="J687" s="142"/>
    </row>
    <row r="688" spans="2:10" x14ac:dyDescent="0.2">
      <c r="B688" s="143">
        <f t="shared" si="10"/>
        <v>27</v>
      </c>
      <c r="C688" s="138" t="str">
        <f>TEXT(Таблица8[[#This Row],[Дата]],"М")</f>
        <v>6</v>
      </c>
      <c r="D688" s="144">
        <v>44741</v>
      </c>
      <c r="E688" s="143" t="s">
        <v>72</v>
      </c>
      <c r="F688" s="143" t="s">
        <v>40</v>
      </c>
      <c r="G688" s="147">
        <v>200</v>
      </c>
      <c r="H688" s="146" t="s">
        <v>130</v>
      </c>
      <c r="I688" s="142"/>
      <c r="J688" s="142"/>
    </row>
    <row r="689" spans="2:10" x14ac:dyDescent="0.2">
      <c r="B689" s="143">
        <f t="shared" si="10"/>
        <v>27</v>
      </c>
      <c r="C689" s="138" t="str">
        <f>TEXT(Таблица8[[#This Row],[Дата]],"М")</f>
        <v>6</v>
      </c>
      <c r="D689" s="144">
        <v>44741</v>
      </c>
      <c r="E689" s="143" t="s">
        <v>72</v>
      </c>
      <c r="F689" s="143" t="s">
        <v>44</v>
      </c>
      <c r="G689" s="147">
        <v>100</v>
      </c>
      <c r="H689" s="146" t="s">
        <v>130</v>
      </c>
      <c r="I689" s="142"/>
      <c r="J689" s="142"/>
    </row>
    <row r="690" spans="2:10" x14ac:dyDescent="0.2">
      <c r="B690" s="143">
        <f t="shared" si="10"/>
        <v>27</v>
      </c>
      <c r="C690" s="138" t="str">
        <f>TEXT(Таблица8[[#This Row],[Дата]],"М")</f>
        <v>6</v>
      </c>
      <c r="D690" s="144">
        <v>44741</v>
      </c>
      <c r="E690" s="143" t="s">
        <v>72</v>
      </c>
      <c r="F690" s="143" t="s">
        <v>124</v>
      </c>
      <c r="G690" s="147">
        <v>50</v>
      </c>
      <c r="H690" s="146" t="s">
        <v>130</v>
      </c>
      <c r="I690" s="142"/>
      <c r="J690" s="142"/>
    </row>
    <row r="691" spans="2:10" x14ac:dyDescent="0.2">
      <c r="B691" s="143">
        <f t="shared" si="10"/>
        <v>27</v>
      </c>
      <c r="C691" s="138" t="str">
        <f>TEXT(Таблица8[[#This Row],[Дата]],"М")</f>
        <v>6</v>
      </c>
      <c r="D691" s="144">
        <v>44741</v>
      </c>
      <c r="E691" s="143" t="s">
        <v>19</v>
      </c>
      <c r="F691" s="143" t="s">
        <v>96</v>
      </c>
      <c r="G691" s="147">
        <f>285+143+115</f>
        <v>543</v>
      </c>
      <c r="H691" s="146"/>
      <c r="I691" s="142"/>
      <c r="J691" s="142"/>
    </row>
    <row r="692" spans="2:10" x14ac:dyDescent="0.2">
      <c r="B692" s="137">
        <f t="shared" si="10"/>
        <v>27</v>
      </c>
      <c r="C692" s="138" t="str">
        <f>TEXT(Таблица8[[#This Row],[Дата]],"М")</f>
        <v>6</v>
      </c>
      <c r="D692" s="139">
        <v>44742</v>
      </c>
      <c r="E692" s="137" t="s">
        <v>71</v>
      </c>
      <c r="F692" s="137" t="s">
        <v>94</v>
      </c>
      <c r="G692" s="140">
        <v>32</v>
      </c>
      <c r="H692" s="141"/>
      <c r="I692" s="142"/>
      <c r="J692" s="142"/>
    </row>
    <row r="693" spans="2:10" x14ac:dyDescent="0.2">
      <c r="B693" s="143">
        <f t="shared" si="10"/>
        <v>27</v>
      </c>
      <c r="C693" s="138" t="str">
        <f>TEXT(Таблица8[[#This Row],[Дата]],"М")</f>
        <v>6</v>
      </c>
      <c r="D693" s="144">
        <v>44742</v>
      </c>
      <c r="E693" s="143" t="s">
        <v>20</v>
      </c>
      <c r="F693" s="143" t="s">
        <v>99</v>
      </c>
      <c r="G693" s="147">
        <f>127+75</f>
        <v>202</v>
      </c>
      <c r="H693" s="146" t="s">
        <v>130</v>
      </c>
      <c r="I693" s="142"/>
      <c r="J693" s="142"/>
    </row>
    <row r="694" spans="2:10" x14ac:dyDescent="0.2">
      <c r="B694" s="143">
        <f t="shared" si="10"/>
        <v>27</v>
      </c>
      <c r="C694" s="138" t="str">
        <f>TEXT(Таблица8[[#This Row],[Дата]],"М")</f>
        <v>6</v>
      </c>
      <c r="D694" s="144">
        <v>44742</v>
      </c>
      <c r="E694" s="143" t="s">
        <v>71</v>
      </c>
      <c r="F694" s="143" t="s">
        <v>91</v>
      </c>
      <c r="G694" s="147">
        <f>214+285</f>
        <v>499</v>
      </c>
      <c r="H694" s="146" t="s">
        <v>130</v>
      </c>
      <c r="I694" s="142"/>
      <c r="J694" s="142"/>
    </row>
    <row r="695" spans="2:10" x14ac:dyDescent="0.2">
      <c r="B695" s="143">
        <f t="shared" si="10"/>
        <v>27</v>
      </c>
      <c r="C695" s="138" t="str">
        <f>TEXT(Таблица8[[#This Row],[Дата]],"М")</f>
        <v>6</v>
      </c>
      <c r="D695" s="144">
        <v>44742</v>
      </c>
      <c r="E695" s="143" t="s">
        <v>72</v>
      </c>
      <c r="F695" s="143" t="s">
        <v>124</v>
      </c>
      <c r="G695" s="147">
        <v>200</v>
      </c>
      <c r="H695" s="146"/>
      <c r="I695" s="142"/>
      <c r="J695" s="142"/>
    </row>
    <row r="696" spans="2:10" x14ac:dyDescent="0.2">
      <c r="B696" s="143">
        <f t="shared" si="10"/>
        <v>27</v>
      </c>
      <c r="C696" s="138" t="str">
        <f>TEXT(Таблица8[[#This Row],[Дата]],"М")</f>
        <v>6</v>
      </c>
      <c r="D696" s="144">
        <v>44742</v>
      </c>
      <c r="E696" s="143" t="s">
        <v>72</v>
      </c>
      <c r="F696" s="143"/>
      <c r="G696" s="147">
        <v>200</v>
      </c>
      <c r="H696" s="146"/>
      <c r="I696" s="142"/>
      <c r="J696" s="142"/>
    </row>
    <row r="697" spans="2:10" x14ac:dyDescent="0.2">
      <c r="B697" s="143">
        <f t="shared" si="10"/>
        <v>27</v>
      </c>
      <c r="C697" s="138" t="str">
        <f>TEXT(Таблица8[[#This Row],[Дата]],"М")</f>
        <v>6</v>
      </c>
      <c r="D697" s="144">
        <v>44742</v>
      </c>
      <c r="E697" s="143" t="s">
        <v>72</v>
      </c>
      <c r="F697" s="143" t="s">
        <v>44</v>
      </c>
      <c r="G697" s="147">
        <v>200</v>
      </c>
      <c r="H697" s="146"/>
      <c r="I697" s="142"/>
      <c r="J697" s="142"/>
    </row>
    <row r="698" spans="2:10" x14ac:dyDescent="0.2">
      <c r="B698" s="143">
        <f t="shared" si="10"/>
        <v>27</v>
      </c>
      <c r="C698" s="138" t="str">
        <f>TEXT(Таблица8[[#This Row],[Дата]],"М")</f>
        <v>6</v>
      </c>
      <c r="D698" s="144">
        <v>44742</v>
      </c>
      <c r="E698" s="143" t="s">
        <v>72</v>
      </c>
      <c r="F698" s="143" t="s">
        <v>124</v>
      </c>
      <c r="G698" s="147">
        <v>100</v>
      </c>
      <c r="H698" s="146"/>
      <c r="I698" s="142"/>
      <c r="J698" s="142"/>
    </row>
    <row r="699" spans="2:10" x14ac:dyDescent="0.2">
      <c r="B699" s="143">
        <f t="shared" si="10"/>
        <v>27</v>
      </c>
      <c r="C699" s="138" t="str">
        <f>TEXT(Таблица8[[#This Row],[Дата]],"М")</f>
        <v>6</v>
      </c>
      <c r="D699" s="144">
        <v>44742</v>
      </c>
      <c r="E699" s="143" t="s">
        <v>72</v>
      </c>
      <c r="F699" s="143" t="s">
        <v>40</v>
      </c>
      <c r="G699" s="147">
        <v>390</v>
      </c>
      <c r="H699" s="146"/>
      <c r="I699" s="142"/>
      <c r="J699" s="142"/>
    </row>
    <row r="700" spans="2:10" x14ac:dyDescent="0.2">
      <c r="B700" s="143">
        <f t="shared" si="10"/>
        <v>27</v>
      </c>
      <c r="C700" s="138" t="str">
        <f>TEXT(Таблица8[[#This Row],[Дата]],"М")</f>
        <v>6</v>
      </c>
      <c r="D700" s="144">
        <v>44742</v>
      </c>
      <c r="E700" s="143" t="s">
        <v>19</v>
      </c>
      <c r="F700" s="143" t="s">
        <v>96</v>
      </c>
      <c r="G700" s="147">
        <f>825</f>
        <v>825</v>
      </c>
      <c r="H700" s="146"/>
      <c r="I700" s="142"/>
      <c r="J700" s="142"/>
    </row>
    <row r="701" spans="2:10" x14ac:dyDescent="0.2">
      <c r="B701" s="143">
        <f t="shared" si="10"/>
        <v>27</v>
      </c>
      <c r="C701" s="138" t="str">
        <f>TEXT(Таблица8[[#This Row],[Дата]],"М")</f>
        <v>6</v>
      </c>
      <c r="D701" s="144">
        <v>44742</v>
      </c>
      <c r="E701" s="143" t="s">
        <v>29</v>
      </c>
      <c r="F701" s="143" t="s">
        <v>107</v>
      </c>
      <c r="G701" s="147">
        <v>240</v>
      </c>
      <c r="H701" s="146"/>
      <c r="I701" s="142"/>
      <c r="J701" s="142"/>
    </row>
    <row r="702" spans="2:10" x14ac:dyDescent="0.2">
      <c r="B702" s="137">
        <f t="shared" si="10"/>
        <v>27</v>
      </c>
      <c r="C702" s="138" t="str">
        <f>TEXT(Таблица8[[#This Row],[Дата]],"М")</f>
        <v>7</v>
      </c>
      <c r="D702" s="139">
        <v>44743</v>
      </c>
      <c r="E702" s="137" t="s">
        <v>71</v>
      </c>
      <c r="F702" s="137" t="s">
        <v>91</v>
      </c>
      <c r="G702" s="140">
        <f>286+268+10</f>
        <v>564</v>
      </c>
      <c r="H702" s="141"/>
      <c r="I702" s="142"/>
      <c r="J702" s="142"/>
    </row>
    <row r="703" spans="2:10" x14ac:dyDescent="0.2">
      <c r="B703" s="143">
        <f t="shared" ref="B703:B766" si="11">WEEKNUM(D703)</f>
        <v>27</v>
      </c>
      <c r="C703" s="138" t="str">
        <f>TEXT(Таблица8[[#This Row],[Дата]],"М")</f>
        <v>7</v>
      </c>
      <c r="D703" s="144">
        <v>44743</v>
      </c>
      <c r="E703" s="143" t="s">
        <v>20</v>
      </c>
      <c r="F703" s="143" t="s">
        <v>99</v>
      </c>
      <c r="G703" s="147">
        <f>82+45</f>
        <v>127</v>
      </c>
      <c r="H703" s="146"/>
      <c r="I703" s="142"/>
      <c r="J703" s="142"/>
    </row>
    <row r="704" spans="2:10" x14ac:dyDescent="0.2">
      <c r="B704" s="143">
        <f t="shared" si="11"/>
        <v>27</v>
      </c>
      <c r="C704" s="138" t="str">
        <f>TEXT(Таблица8[[#This Row],[Дата]],"М")</f>
        <v>7</v>
      </c>
      <c r="D704" s="144">
        <v>44743</v>
      </c>
      <c r="E704" s="143" t="s">
        <v>19</v>
      </c>
      <c r="F704" s="143" t="s">
        <v>116</v>
      </c>
      <c r="G704" s="147">
        <f>85+80</f>
        <v>165</v>
      </c>
      <c r="H704" s="146"/>
      <c r="I704" s="142"/>
      <c r="J704" s="142"/>
    </row>
    <row r="705" spans="2:10" x14ac:dyDescent="0.2">
      <c r="B705" s="137">
        <f t="shared" si="11"/>
        <v>27</v>
      </c>
      <c r="C705" s="138" t="str">
        <f>TEXT(Таблица8[[#This Row],[Дата]],"М")</f>
        <v>7</v>
      </c>
      <c r="D705" s="139">
        <v>44744</v>
      </c>
      <c r="E705" s="137" t="s">
        <v>30</v>
      </c>
      <c r="F705" s="137" t="s">
        <v>98</v>
      </c>
      <c r="G705" s="140">
        <v>1000</v>
      </c>
      <c r="H705" s="141"/>
      <c r="I705" s="142"/>
      <c r="J705" s="142"/>
    </row>
    <row r="706" spans="2:10" x14ac:dyDescent="0.2">
      <c r="B706" s="143">
        <f t="shared" si="11"/>
        <v>27</v>
      </c>
      <c r="C706" s="138" t="str">
        <f>TEXT(Таблица8[[#This Row],[Дата]],"М")</f>
        <v>7</v>
      </c>
      <c r="D706" s="144">
        <v>44744</v>
      </c>
      <c r="E706" s="143" t="s">
        <v>71</v>
      </c>
      <c r="F706" s="143" t="s">
        <v>91</v>
      </c>
      <c r="G706" s="147">
        <f>542</f>
        <v>542</v>
      </c>
      <c r="H706" s="146"/>
      <c r="I706" s="142"/>
      <c r="J706" s="142"/>
    </row>
    <row r="707" spans="2:10" x14ac:dyDescent="0.2">
      <c r="B707" s="137">
        <f t="shared" si="11"/>
        <v>28</v>
      </c>
      <c r="C707" s="138" t="str">
        <f>TEXT(Таблица8[[#This Row],[Дата]],"М")</f>
        <v>7</v>
      </c>
      <c r="D707" s="139">
        <v>44745</v>
      </c>
      <c r="E707" s="137" t="s">
        <v>22</v>
      </c>
      <c r="F707" s="137" t="s">
        <v>38</v>
      </c>
      <c r="G707" s="140">
        <f>1033-500</f>
        <v>533</v>
      </c>
      <c r="H707" s="141"/>
      <c r="I707" s="142"/>
      <c r="J707" s="142"/>
    </row>
    <row r="708" spans="2:10" x14ac:dyDescent="0.2">
      <c r="B708" s="143">
        <f t="shared" si="11"/>
        <v>28</v>
      </c>
      <c r="C708" s="138" t="str">
        <f>TEXT(Таблица8[[#This Row],[Дата]],"М")</f>
        <v>7</v>
      </c>
      <c r="D708" s="144">
        <v>44745</v>
      </c>
      <c r="E708" s="143" t="s">
        <v>22</v>
      </c>
      <c r="F708" s="143" t="s">
        <v>38</v>
      </c>
      <c r="G708" s="147">
        <v>206</v>
      </c>
      <c r="H708" s="146" t="s">
        <v>130</v>
      </c>
      <c r="I708" s="142"/>
      <c r="J708" s="142"/>
    </row>
    <row r="709" spans="2:10" x14ac:dyDescent="0.2">
      <c r="B709" s="143">
        <f t="shared" si="11"/>
        <v>28</v>
      </c>
      <c r="C709" s="138" t="str">
        <f>TEXT(Таблица8[[#This Row],[Дата]],"М")</f>
        <v>7</v>
      </c>
      <c r="D709" s="144">
        <v>44745</v>
      </c>
      <c r="E709" s="143" t="s">
        <v>22</v>
      </c>
      <c r="F709" s="143" t="s">
        <v>104</v>
      </c>
      <c r="G709" s="147">
        <v>1048</v>
      </c>
      <c r="H709" s="146"/>
      <c r="I709" s="142"/>
      <c r="J709" s="142"/>
    </row>
    <row r="710" spans="2:10" x14ac:dyDescent="0.2">
      <c r="B710" s="143">
        <f t="shared" si="11"/>
        <v>28</v>
      </c>
      <c r="C710" s="138" t="str">
        <f>TEXT(Таблица8[[#This Row],[Дата]],"М")</f>
        <v>7</v>
      </c>
      <c r="D710" s="144">
        <v>44745</v>
      </c>
      <c r="E710" s="143" t="s">
        <v>19</v>
      </c>
      <c r="F710" s="143" t="s">
        <v>96</v>
      </c>
      <c r="G710" s="147">
        <f>44+130+123</f>
        <v>297</v>
      </c>
      <c r="H710" s="146"/>
      <c r="I710" s="142"/>
      <c r="J710" s="142"/>
    </row>
    <row r="711" spans="2:10" x14ac:dyDescent="0.2">
      <c r="B711" s="143">
        <f t="shared" si="11"/>
        <v>28</v>
      </c>
      <c r="C711" s="138" t="str">
        <f>TEXT(Таблица8[[#This Row],[Дата]],"М")</f>
        <v>7</v>
      </c>
      <c r="D711" s="144">
        <v>44745</v>
      </c>
      <c r="E711" s="143" t="s">
        <v>30</v>
      </c>
      <c r="F711" s="143" t="s">
        <v>98</v>
      </c>
      <c r="G711" s="147">
        <v>800</v>
      </c>
      <c r="H711" s="146"/>
      <c r="I711" s="142"/>
      <c r="J711" s="142"/>
    </row>
    <row r="712" spans="2:10" x14ac:dyDescent="0.2">
      <c r="B712" s="143">
        <f t="shared" si="11"/>
        <v>28</v>
      </c>
      <c r="C712" s="138" t="str">
        <f>TEXT(Таблица8[[#This Row],[Дата]],"М")</f>
        <v>7</v>
      </c>
      <c r="D712" s="144">
        <v>44745</v>
      </c>
      <c r="E712" s="143" t="s">
        <v>71</v>
      </c>
      <c r="F712" s="143" t="s">
        <v>94</v>
      </c>
      <c r="G712" s="147">
        <v>32</v>
      </c>
      <c r="H712" s="146"/>
      <c r="I712" s="142"/>
      <c r="J712" s="142"/>
    </row>
    <row r="713" spans="2:10" x14ac:dyDescent="0.2">
      <c r="B713" s="143">
        <f t="shared" si="11"/>
        <v>28</v>
      </c>
      <c r="C713" s="138" t="str">
        <f>TEXT(Таблица8[[#This Row],[Дата]],"М")</f>
        <v>7</v>
      </c>
      <c r="D713" s="144">
        <v>44745</v>
      </c>
      <c r="E713" s="143" t="s">
        <v>20</v>
      </c>
      <c r="F713" s="143" t="s">
        <v>118</v>
      </c>
      <c r="G713" s="147">
        <v>65</v>
      </c>
      <c r="H713" s="146"/>
      <c r="I713" s="142"/>
      <c r="J713" s="142"/>
    </row>
    <row r="714" spans="2:10" x14ac:dyDescent="0.2">
      <c r="B714" s="137">
        <f t="shared" si="11"/>
        <v>28</v>
      </c>
      <c r="C714" s="138" t="str">
        <f>TEXT(Таблица8[[#This Row],[Дата]],"М")</f>
        <v>7</v>
      </c>
      <c r="D714" s="139">
        <v>44746</v>
      </c>
      <c r="E714" s="137" t="s">
        <v>71</v>
      </c>
      <c r="F714" s="137" t="s">
        <v>91</v>
      </c>
      <c r="G714" s="140">
        <v>285</v>
      </c>
      <c r="H714" s="141" t="s">
        <v>130</v>
      </c>
      <c r="I714" s="142"/>
      <c r="J714" s="142"/>
    </row>
    <row r="715" spans="2:10" x14ac:dyDescent="0.2">
      <c r="B715" s="143">
        <f t="shared" si="11"/>
        <v>28</v>
      </c>
      <c r="C715" s="138" t="str">
        <f>TEXT(Таблица8[[#This Row],[Дата]],"М")</f>
        <v>7</v>
      </c>
      <c r="D715" s="144">
        <v>44746</v>
      </c>
      <c r="E715" s="143" t="s">
        <v>20</v>
      </c>
      <c r="F715" s="143" t="s">
        <v>99</v>
      </c>
      <c r="G715" s="147">
        <v>107</v>
      </c>
      <c r="H715" s="146"/>
      <c r="I715" s="142"/>
      <c r="J715" s="142"/>
    </row>
    <row r="716" spans="2:10" x14ac:dyDescent="0.2">
      <c r="B716" s="137">
        <f t="shared" si="11"/>
        <v>28</v>
      </c>
      <c r="C716" s="138" t="str">
        <f>TEXT(Таблица8[[#This Row],[Дата]],"М")</f>
        <v>7</v>
      </c>
      <c r="D716" s="139">
        <v>44747</v>
      </c>
      <c r="E716" s="137" t="s">
        <v>71</v>
      </c>
      <c r="F716" s="137" t="s">
        <v>91</v>
      </c>
      <c r="G716" s="140">
        <v>238</v>
      </c>
      <c r="H716" s="141" t="s">
        <v>130</v>
      </c>
      <c r="I716" s="142"/>
      <c r="J716" s="142"/>
    </row>
    <row r="717" spans="2:10" x14ac:dyDescent="0.2">
      <c r="B717" s="143">
        <f t="shared" si="11"/>
        <v>28</v>
      </c>
      <c r="C717" s="138" t="str">
        <f>TEXT(Таблица8[[#This Row],[Дата]],"М")</f>
        <v>7</v>
      </c>
      <c r="D717" s="144">
        <v>44747</v>
      </c>
      <c r="E717" s="143" t="s">
        <v>20</v>
      </c>
      <c r="F717" s="143" t="s">
        <v>99</v>
      </c>
      <c r="G717" s="147">
        <v>113</v>
      </c>
      <c r="H717" s="146"/>
      <c r="I717" s="142"/>
      <c r="J717" s="142"/>
    </row>
    <row r="718" spans="2:10" x14ac:dyDescent="0.2">
      <c r="B718" s="143">
        <f t="shared" si="11"/>
        <v>28</v>
      </c>
      <c r="C718" s="138" t="str">
        <f>TEXT(Таблица8[[#This Row],[Дата]],"М")</f>
        <v>7</v>
      </c>
      <c r="D718" s="144">
        <v>44747</v>
      </c>
      <c r="E718" s="143" t="s">
        <v>71</v>
      </c>
      <c r="F718" s="143" t="s">
        <v>94</v>
      </c>
      <c r="G718" s="147">
        <v>32</v>
      </c>
      <c r="H718" s="146"/>
      <c r="I718" s="142"/>
      <c r="J718" s="142"/>
    </row>
    <row r="719" spans="2:10" x14ac:dyDescent="0.2">
      <c r="B719" s="143">
        <f t="shared" si="11"/>
        <v>28</v>
      </c>
      <c r="C719" s="138" t="str">
        <f>TEXT(Таблица8[[#This Row],[Дата]],"М")</f>
        <v>7</v>
      </c>
      <c r="D719" s="144">
        <v>44747</v>
      </c>
      <c r="E719" s="143" t="s">
        <v>19</v>
      </c>
      <c r="F719" s="143" t="s">
        <v>116</v>
      </c>
      <c r="G719" s="147">
        <f>634+70+40</f>
        <v>744</v>
      </c>
      <c r="H719" s="146"/>
      <c r="I719" s="142"/>
      <c r="J719" s="142"/>
    </row>
    <row r="720" spans="2:10" x14ac:dyDescent="0.2">
      <c r="B720" s="137">
        <f t="shared" si="11"/>
        <v>28</v>
      </c>
      <c r="C720" s="138" t="str">
        <f>TEXT(Таблица8[[#This Row],[Дата]],"М")</f>
        <v>7</v>
      </c>
      <c r="D720" s="139">
        <v>44748</v>
      </c>
      <c r="E720" s="137" t="s">
        <v>71</v>
      </c>
      <c r="F720" s="137" t="s">
        <v>91</v>
      </c>
      <c r="G720" s="140">
        <v>64</v>
      </c>
      <c r="H720" s="141"/>
      <c r="I720" s="142"/>
      <c r="J720" s="142"/>
    </row>
    <row r="721" spans="2:10" x14ac:dyDescent="0.2">
      <c r="B721" s="143">
        <f t="shared" si="11"/>
        <v>28</v>
      </c>
      <c r="C721" s="138" t="str">
        <f>TEXT(Таблица8[[#This Row],[Дата]],"М")</f>
        <v>7</v>
      </c>
      <c r="D721" s="144">
        <v>44748</v>
      </c>
      <c r="E721" s="143" t="s">
        <v>20</v>
      </c>
      <c r="F721" s="143" t="s">
        <v>99</v>
      </c>
      <c r="G721" s="147">
        <v>275</v>
      </c>
      <c r="H721" s="146"/>
      <c r="I721" s="142"/>
      <c r="J721" s="142"/>
    </row>
    <row r="722" spans="2:10" x14ac:dyDescent="0.2">
      <c r="B722" s="143">
        <f t="shared" si="11"/>
        <v>28</v>
      </c>
      <c r="C722" s="138" t="str">
        <f>TEXT(Таблица8[[#This Row],[Дата]],"М")</f>
        <v>7</v>
      </c>
      <c r="D722" s="144">
        <v>44748</v>
      </c>
      <c r="E722" s="143" t="s">
        <v>20</v>
      </c>
      <c r="F722" s="143" t="s">
        <v>118</v>
      </c>
      <c r="G722" s="147">
        <v>40</v>
      </c>
      <c r="H722" s="146"/>
      <c r="I722" s="142"/>
      <c r="J722" s="142"/>
    </row>
    <row r="723" spans="2:10" x14ac:dyDescent="0.2">
      <c r="B723" s="137">
        <f t="shared" si="11"/>
        <v>28</v>
      </c>
      <c r="C723" s="138" t="str">
        <f>TEXT(Таблица8[[#This Row],[Дата]],"М")</f>
        <v>7</v>
      </c>
      <c r="D723" s="139">
        <v>44749</v>
      </c>
      <c r="E723" s="137" t="s">
        <v>71</v>
      </c>
      <c r="F723" s="137" t="s">
        <v>94</v>
      </c>
      <c r="G723" s="140">
        <f>32*3</f>
        <v>96</v>
      </c>
      <c r="H723" s="141"/>
      <c r="I723" s="142"/>
      <c r="J723" s="142"/>
    </row>
    <row r="724" spans="2:10" x14ac:dyDescent="0.2">
      <c r="B724" s="143">
        <f t="shared" si="11"/>
        <v>28</v>
      </c>
      <c r="C724" s="138" t="str">
        <f>TEXT(Таблица8[[#This Row],[Дата]],"М")</f>
        <v>7</v>
      </c>
      <c r="D724" s="144">
        <v>44749</v>
      </c>
      <c r="E724" s="143" t="s">
        <v>20</v>
      </c>
      <c r="F724" s="143" t="s">
        <v>99</v>
      </c>
      <c r="G724" s="147">
        <v>240</v>
      </c>
      <c r="H724" s="146"/>
      <c r="I724" s="142"/>
      <c r="J724" s="142"/>
    </row>
    <row r="725" spans="2:10" x14ac:dyDescent="0.2">
      <c r="B725" s="143">
        <f t="shared" si="11"/>
        <v>28</v>
      </c>
      <c r="C725" s="138" t="str">
        <f>TEXT(Таблица8[[#This Row],[Дата]],"М")</f>
        <v>7</v>
      </c>
      <c r="D725" s="144">
        <v>44749</v>
      </c>
      <c r="E725" s="143" t="s">
        <v>23</v>
      </c>
      <c r="F725" s="143" t="s">
        <v>103</v>
      </c>
      <c r="G725" s="147">
        <f>350+45</f>
        <v>395</v>
      </c>
      <c r="H725" s="146"/>
      <c r="I725" s="142"/>
      <c r="J725" s="142"/>
    </row>
    <row r="726" spans="2:10" x14ac:dyDescent="0.2">
      <c r="B726" s="143">
        <f t="shared" si="11"/>
        <v>28</v>
      </c>
      <c r="C726" s="138" t="str">
        <f>TEXT(Таблица8[[#This Row],[Дата]],"М")</f>
        <v>7</v>
      </c>
      <c r="D726" s="144">
        <v>44749</v>
      </c>
      <c r="E726" s="143" t="s">
        <v>23</v>
      </c>
      <c r="F726" s="143" t="s">
        <v>111</v>
      </c>
      <c r="G726" s="147">
        <v>22</v>
      </c>
      <c r="H726" s="146"/>
      <c r="I726" s="142"/>
      <c r="J726" s="142"/>
    </row>
    <row r="727" spans="2:10" x14ac:dyDescent="0.2">
      <c r="B727" s="143">
        <f t="shared" si="11"/>
        <v>28</v>
      </c>
      <c r="C727" s="138" t="str">
        <f>TEXT(Таблица8[[#This Row],[Дата]],"М")</f>
        <v>7</v>
      </c>
      <c r="D727" s="144">
        <v>44749</v>
      </c>
      <c r="E727" s="143" t="s">
        <v>19</v>
      </c>
      <c r="F727" s="143" t="s">
        <v>96</v>
      </c>
      <c r="G727" s="147">
        <v>311</v>
      </c>
      <c r="H727" s="146"/>
      <c r="I727" s="142"/>
      <c r="J727" s="142"/>
    </row>
    <row r="728" spans="2:10" x14ac:dyDescent="0.2">
      <c r="B728" s="143">
        <f t="shared" si="11"/>
        <v>28</v>
      </c>
      <c r="C728" s="138" t="str">
        <f>TEXT(Таблица8[[#This Row],[Дата]],"М")</f>
        <v>7</v>
      </c>
      <c r="D728" s="144">
        <v>44749</v>
      </c>
      <c r="E728" s="143" t="s">
        <v>20</v>
      </c>
      <c r="F728" s="143" t="s">
        <v>102</v>
      </c>
      <c r="G728" s="147">
        <v>50</v>
      </c>
      <c r="H728" s="146"/>
      <c r="I728" s="142"/>
      <c r="J728" s="142"/>
    </row>
    <row r="729" spans="2:10" x14ac:dyDescent="0.2">
      <c r="B729" s="137">
        <f t="shared" si="11"/>
        <v>28</v>
      </c>
      <c r="C729" s="138" t="str">
        <f>TEXT(Таблица8[[#This Row],[Дата]],"М")</f>
        <v>7</v>
      </c>
      <c r="D729" s="139">
        <v>44750</v>
      </c>
      <c r="E729" s="137" t="s">
        <v>71</v>
      </c>
      <c r="F729" s="137" t="s">
        <v>94</v>
      </c>
      <c r="G729" s="140">
        <f>32*3</f>
        <v>96</v>
      </c>
      <c r="H729" s="141"/>
      <c r="I729" s="142"/>
      <c r="J729" s="142"/>
    </row>
    <row r="730" spans="2:10" x14ac:dyDescent="0.2">
      <c r="B730" s="143">
        <f t="shared" si="11"/>
        <v>28</v>
      </c>
      <c r="C730" s="138" t="str">
        <f>TEXT(Таблица8[[#This Row],[Дата]],"М")</f>
        <v>7</v>
      </c>
      <c r="D730" s="144">
        <v>44750</v>
      </c>
      <c r="E730" s="143" t="s">
        <v>20</v>
      </c>
      <c r="F730" s="143" t="s">
        <v>99</v>
      </c>
      <c r="G730" s="147">
        <v>94</v>
      </c>
      <c r="H730" s="146"/>
      <c r="I730" s="142"/>
      <c r="J730" s="142"/>
    </row>
    <row r="731" spans="2:10" x14ac:dyDescent="0.2">
      <c r="B731" s="143">
        <f t="shared" si="11"/>
        <v>28</v>
      </c>
      <c r="C731" s="138" t="str">
        <f>TEXT(Таблица8[[#This Row],[Дата]],"М")</f>
        <v>7</v>
      </c>
      <c r="D731" s="144">
        <v>44750</v>
      </c>
      <c r="E731" s="143" t="s">
        <v>19</v>
      </c>
      <c r="F731" s="143" t="s">
        <v>131</v>
      </c>
      <c r="G731" s="147">
        <v>75</v>
      </c>
      <c r="H731" s="146"/>
      <c r="I731" s="142"/>
      <c r="J731" s="142"/>
    </row>
    <row r="732" spans="2:10" x14ac:dyDescent="0.2">
      <c r="B732" s="143">
        <f t="shared" si="11"/>
        <v>28</v>
      </c>
      <c r="C732" s="138" t="str">
        <f>TEXT(Таблица8[[#This Row],[Дата]],"М")</f>
        <v>7</v>
      </c>
      <c r="D732" s="144">
        <v>44750</v>
      </c>
      <c r="E732" s="143" t="s">
        <v>71</v>
      </c>
      <c r="F732" s="143" t="s">
        <v>115</v>
      </c>
      <c r="G732" s="147">
        <v>264</v>
      </c>
      <c r="H732" s="146"/>
      <c r="I732" s="142"/>
      <c r="J732" s="142"/>
    </row>
    <row r="733" spans="2:10" x14ac:dyDescent="0.2">
      <c r="B733" s="143">
        <f t="shared" si="11"/>
        <v>28</v>
      </c>
      <c r="C733" s="138" t="str">
        <f>TEXT(Таблица8[[#This Row],[Дата]],"М")</f>
        <v>7</v>
      </c>
      <c r="D733" s="144">
        <v>44750</v>
      </c>
      <c r="E733" s="143" t="s">
        <v>20</v>
      </c>
      <c r="F733" s="143" t="s">
        <v>97</v>
      </c>
      <c r="G733" s="147">
        <v>447</v>
      </c>
      <c r="H733" s="146"/>
      <c r="I733" s="142"/>
      <c r="J733" s="142"/>
    </row>
    <row r="734" spans="2:10" x14ac:dyDescent="0.2">
      <c r="B734" s="137">
        <f t="shared" si="11"/>
        <v>28</v>
      </c>
      <c r="C734" s="138" t="str">
        <f>TEXT(Таблица8[[#This Row],[Дата]],"М")</f>
        <v>7</v>
      </c>
      <c r="D734" s="139">
        <v>44751</v>
      </c>
      <c r="E734" s="137" t="s">
        <v>71</v>
      </c>
      <c r="F734" s="137" t="s">
        <v>115</v>
      </c>
      <c r="G734" s="140">
        <v>264</v>
      </c>
      <c r="H734" s="141"/>
      <c r="I734" s="142"/>
      <c r="J734" s="142"/>
    </row>
    <row r="735" spans="2:10" x14ac:dyDescent="0.2">
      <c r="B735" s="143">
        <f t="shared" si="11"/>
        <v>28</v>
      </c>
      <c r="C735" s="138" t="str">
        <f>TEXT(Таблица8[[#This Row],[Дата]],"М")</f>
        <v>7</v>
      </c>
      <c r="D735" s="144">
        <v>44751</v>
      </c>
      <c r="E735" s="143" t="s">
        <v>71</v>
      </c>
      <c r="F735" s="143" t="s">
        <v>94</v>
      </c>
      <c r="G735" s="147">
        <v>32</v>
      </c>
      <c r="H735" s="146"/>
      <c r="I735" s="142"/>
      <c r="J735" s="142"/>
    </row>
    <row r="736" spans="2:10" x14ac:dyDescent="0.2">
      <c r="B736" s="137">
        <f t="shared" si="11"/>
        <v>29</v>
      </c>
      <c r="C736" s="138" t="str">
        <f>TEXT(Таблица8[[#This Row],[Дата]],"М")</f>
        <v>7</v>
      </c>
      <c r="D736" s="139">
        <v>44752</v>
      </c>
      <c r="E736" s="137" t="s">
        <v>71</v>
      </c>
      <c r="F736" s="137" t="s">
        <v>94</v>
      </c>
      <c r="G736" s="140">
        <v>64</v>
      </c>
      <c r="H736" s="141"/>
      <c r="I736" s="142"/>
      <c r="J736" s="142"/>
    </row>
    <row r="737" spans="2:10" x14ac:dyDescent="0.2">
      <c r="B737" s="143">
        <f t="shared" si="11"/>
        <v>29</v>
      </c>
      <c r="C737" s="138" t="str">
        <f>TEXT(Таблица8[[#This Row],[Дата]],"М")</f>
        <v>7</v>
      </c>
      <c r="D737" s="144">
        <v>44752</v>
      </c>
      <c r="E737" s="143" t="s">
        <v>20</v>
      </c>
      <c r="F737" s="143" t="s">
        <v>97</v>
      </c>
      <c r="G737" s="147">
        <v>550</v>
      </c>
      <c r="H737" s="146"/>
      <c r="I737" s="142"/>
      <c r="J737" s="142"/>
    </row>
    <row r="738" spans="2:10" x14ac:dyDescent="0.2">
      <c r="B738" s="143">
        <f t="shared" si="11"/>
        <v>29</v>
      </c>
      <c r="C738" s="138" t="str">
        <f>TEXT(Таблица8[[#This Row],[Дата]],"М")</f>
        <v>7</v>
      </c>
      <c r="D738" s="144">
        <v>44752</v>
      </c>
      <c r="E738" s="143" t="s">
        <v>71</v>
      </c>
      <c r="F738" s="143" t="s">
        <v>91</v>
      </c>
      <c r="G738" s="147">
        <v>310</v>
      </c>
      <c r="H738" s="146"/>
      <c r="I738" s="142"/>
      <c r="J738" s="142"/>
    </row>
    <row r="739" spans="2:10" x14ac:dyDescent="0.2">
      <c r="B739" s="137">
        <f t="shared" si="11"/>
        <v>29</v>
      </c>
      <c r="C739" s="138" t="str">
        <f>TEXT(Таблица8[[#This Row],[Дата]],"М")</f>
        <v>7</v>
      </c>
      <c r="D739" s="139">
        <v>44753</v>
      </c>
      <c r="E739" s="137" t="s">
        <v>71</v>
      </c>
      <c r="F739" s="137" t="s">
        <v>94</v>
      </c>
      <c r="G739" s="140">
        <v>64</v>
      </c>
      <c r="H739" s="141"/>
      <c r="I739" s="142"/>
      <c r="J739" s="142"/>
    </row>
    <row r="740" spans="2:10" x14ac:dyDescent="0.2">
      <c r="B740" s="143">
        <f t="shared" si="11"/>
        <v>29</v>
      </c>
      <c r="C740" s="138" t="str">
        <f>TEXT(Таблица8[[#This Row],[Дата]],"М")</f>
        <v>7</v>
      </c>
      <c r="D740" s="144">
        <v>44753</v>
      </c>
      <c r="E740" s="143" t="s">
        <v>20</v>
      </c>
      <c r="F740" s="143" t="s">
        <v>99</v>
      </c>
      <c r="G740" s="147">
        <v>184</v>
      </c>
      <c r="H740" s="146"/>
      <c r="I740" s="142"/>
      <c r="J740" s="142"/>
    </row>
    <row r="741" spans="2:10" x14ac:dyDescent="0.2">
      <c r="B741" s="143">
        <f t="shared" si="11"/>
        <v>29</v>
      </c>
      <c r="C741" s="138" t="str">
        <f>TEXT(Таблица8[[#This Row],[Дата]],"М")</f>
        <v>7</v>
      </c>
      <c r="D741" s="144">
        <v>44753</v>
      </c>
      <c r="E741" s="143" t="s">
        <v>19</v>
      </c>
      <c r="F741" s="143" t="s">
        <v>116</v>
      </c>
      <c r="G741" s="147">
        <f>221+188</f>
        <v>409</v>
      </c>
      <c r="H741" s="146"/>
      <c r="I741" s="142"/>
      <c r="J741" s="142"/>
    </row>
    <row r="742" spans="2:10" x14ac:dyDescent="0.2">
      <c r="B742" s="137">
        <f t="shared" si="11"/>
        <v>29</v>
      </c>
      <c r="C742" s="138" t="str">
        <f>TEXT(Таблица8[[#This Row],[Дата]],"М")</f>
        <v>7</v>
      </c>
      <c r="D742" s="139">
        <v>44754</v>
      </c>
      <c r="E742" s="137" t="s">
        <v>71</v>
      </c>
      <c r="F742" s="137" t="s">
        <v>94</v>
      </c>
      <c r="G742" s="140">
        <v>64</v>
      </c>
      <c r="H742" s="141"/>
      <c r="I742" s="142"/>
      <c r="J742" s="142"/>
    </row>
    <row r="743" spans="2:10" x14ac:dyDescent="0.2">
      <c r="B743" s="143">
        <f t="shared" si="11"/>
        <v>29</v>
      </c>
      <c r="C743" s="138" t="str">
        <f>TEXT(Таблица8[[#This Row],[Дата]],"М")</f>
        <v>7</v>
      </c>
      <c r="D743" s="144">
        <v>44754</v>
      </c>
      <c r="E743" s="143" t="s">
        <v>20</v>
      </c>
      <c r="F743" s="143" t="s">
        <v>99</v>
      </c>
      <c r="G743" s="147">
        <v>94</v>
      </c>
      <c r="H743" s="146"/>
      <c r="I743" s="142"/>
      <c r="J743" s="142"/>
    </row>
    <row r="744" spans="2:10" x14ac:dyDescent="0.2">
      <c r="B744" s="137">
        <f t="shared" si="11"/>
        <v>29</v>
      </c>
      <c r="C744" s="138" t="str">
        <f>TEXT(Таблица8[[#This Row],[Дата]],"М")</f>
        <v>7</v>
      </c>
      <c r="D744" s="139">
        <v>44755</v>
      </c>
      <c r="E744" s="137" t="s">
        <v>71</v>
      </c>
      <c r="F744" s="137" t="s">
        <v>94</v>
      </c>
      <c r="G744" s="140">
        <v>32</v>
      </c>
      <c r="H744" s="141"/>
      <c r="I744" s="142"/>
      <c r="J744" s="142"/>
    </row>
    <row r="745" spans="2:10" x14ac:dyDescent="0.2">
      <c r="B745" s="143">
        <f t="shared" si="11"/>
        <v>29</v>
      </c>
      <c r="C745" s="138" t="str">
        <f>TEXT(Таблица8[[#This Row],[Дата]],"М")</f>
        <v>7</v>
      </c>
      <c r="D745" s="144">
        <v>44755</v>
      </c>
      <c r="E745" s="143" t="s">
        <v>20</v>
      </c>
      <c r="F745" s="143" t="s">
        <v>99</v>
      </c>
      <c r="G745" s="147">
        <f>100+48</f>
        <v>148</v>
      </c>
      <c r="H745" s="146"/>
      <c r="I745" s="142"/>
      <c r="J745" s="142"/>
    </row>
    <row r="746" spans="2:10" x14ac:dyDescent="0.2">
      <c r="B746" s="143">
        <f t="shared" si="11"/>
        <v>29</v>
      </c>
      <c r="C746" s="138" t="str">
        <f>TEXT(Таблица8[[#This Row],[Дата]],"М")</f>
        <v>7</v>
      </c>
      <c r="D746" s="144">
        <v>44755</v>
      </c>
      <c r="E746" s="143" t="s">
        <v>19</v>
      </c>
      <c r="F746" s="143" t="s">
        <v>96</v>
      </c>
      <c r="G746" s="147">
        <v>80</v>
      </c>
      <c r="H746" s="146"/>
      <c r="I746" s="142"/>
      <c r="J746" s="142"/>
    </row>
    <row r="747" spans="2:10" x14ac:dyDescent="0.2">
      <c r="B747" s="137">
        <f t="shared" si="11"/>
        <v>29</v>
      </c>
      <c r="C747" s="138" t="str">
        <f>TEXT(Таблица8[[#This Row],[Дата]],"М")</f>
        <v>7</v>
      </c>
      <c r="D747" s="139">
        <v>44756</v>
      </c>
      <c r="E747" s="137" t="s">
        <v>71</v>
      </c>
      <c r="F747" s="137" t="s">
        <v>94</v>
      </c>
      <c r="G747" s="140">
        <v>32</v>
      </c>
      <c r="H747" s="141"/>
      <c r="I747" s="142"/>
      <c r="J747" s="142"/>
    </row>
    <row r="748" spans="2:10" x14ac:dyDescent="0.2">
      <c r="B748" s="143">
        <f t="shared" si="11"/>
        <v>29</v>
      </c>
      <c r="C748" s="138" t="str">
        <f>TEXT(Таблица8[[#This Row],[Дата]],"М")</f>
        <v>7</v>
      </c>
      <c r="D748" s="144">
        <v>44756</v>
      </c>
      <c r="E748" s="143" t="s">
        <v>20</v>
      </c>
      <c r="F748" s="143" t="s">
        <v>99</v>
      </c>
      <c r="G748" s="147">
        <v>48</v>
      </c>
      <c r="H748" s="146"/>
      <c r="I748" s="142"/>
      <c r="J748" s="142"/>
    </row>
    <row r="749" spans="2:10" x14ac:dyDescent="0.2">
      <c r="B749" s="143">
        <f t="shared" si="11"/>
        <v>29</v>
      </c>
      <c r="C749" s="138" t="str">
        <f>TEXT(Таблица8[[#This Row],[Дата]],"М")</f>
        <v>7</v>
      </c>
      <c r="D749" s="144">
        <v>44756</v>
      </c>
      <c r="E749" s="143" t="s">
        <v>20</v>
      </c>
      <c r="F749" s="143" t="s">
        <v>99</v>
      </c>
      <c r="G749" s="147">
        <v>140</v>
      </c>
      <c r="H749" s="146"/>
      <c r="I749" s="142"/>
      <c r="J749" s="142"/>
    </row>
    <row r="750" spans="2:10" x14ac:dyDescent="0.2">
      <c r="B750" s="143">
        <f t="shared" si="11"/>
        <v>29</v>
      </c>
      <c r="C750" s="138" t="str">
        <f>TEXT(Таблица8[[#This Row],[Дата]],"М")</f>
        <v>7</v>
      </c>
      <c r="D750" s="144">
        <v>44756</v>
      </c>
      <c r="E750" s="143" t="s">
        <v>19</v>
      </c>
      <c r="F750" s="143" t="s">
        <v>96</v>
      </c>
      <c r="G750" s="147">
        <f>92+85+28</f>
        <v>205</v>
      </c>
      <c r="H750" s="146"/>
      <c r="I750" s="142"/>
      <c r="J750" s="142"/>
    </row>
    <row r="751" spans="2:10" x14ac:dyDescent="0.2">
      <c r="B751" s="137">
        <f t="shared" si="11"/>
        <v>29</v>
      </c>
      <c r="C751" s="138" t="str">
        <f>TEXT(Таблица8[[#This Row],[Дата]],"М")</f>
        <v>7</v>
      </c>
      <c r="D751" s="139">
        <v>44757</v>
      </c>
      <c r="E751" s="137" t="s">
        <v>71</v>
      </c>
      <c r="F751" s="137" t="s">
        <v>94</v>
      </c>
      <c r="G751" s="140">
        <v>32</v>
      </c>
      <c r="H751" s="141"/>
      <c r="I751" s="142"/>
      <c r="J751" s="142"/>
    </row>
    <row r="752" spans="2:10" x14ac:dyDescent="0.2">
      <c r="B752" s="143">
        <f t="shared" si="11"/>
        <v>29</v>
      </c>
      <c r="C752" s="138" t="str">
        <f>TEXT(Таблица8[[#This Row],[Дата]],"М")</f>
        <v>7</v>
      </c>
      <c r="D752" s="144">
        <v>44757</v>
      </c>
      <c r="E752" s="143" t="s">
        <v>26</v>
      </c>
      <c r="F752" s="143" t="s">
        <v>117</v>
      </c>
      <c r="G752" s="147">
        <f>285+1442+270+550+1140+707</f>
        <v>4394</v>
      </c>
      <c r="H752" s="146"/>
      <c r="I752" s="142"/>
      <c r="J752" s="142"/>
    </row>
    <row r="753" spans="2:10" x14ac:dyDescent="0.2">
      <c r="B753" s="143">
        <f t="shared" si="11"/>
        <v>29</v>
      </c>
      <c r="C753" s="138" t="str">
        <f>TEXT(Таблица8[[#This Row],[Дата]],"М")</f>
        <v>7</v>
      </c>
      <c r="D753" s="144">
        <v>44757</v>
      </c>
      <c r="E753" s="143" t="s">
        <v>72</v>
      </c>
      <c r="F753" s="143"/>
      <c r="G753" s="147">
        <v>1000</v>
      </c>
      <c r="H753" s="146"/>
      <c r="I753" s="142"/>
      <c r="J753" s="142"/>
    </row>
    <row r="754" spans="2:10" x14ac:dyDescent="0.2">
      <c r="B754" s="143">
        <f t="shared" si="11"/>
        <v>29</v>
      </c>
      <c r="C754" s="138" t="str">
        <f>TEXT(Таблица8[[#This Row],[Дата]],"М")</f>
        <v>7</v>
      </c>
      <c r="D754" s="144">
        <v>44757</v>
      </c>
      <c r="E754" s="143" t="s">
        <v>19</v>
      </c>
      <c r="F754" s="143" t="s">
        <v>96</v>
      </c>
      <c r="G754" s="147">
        <v>210</v>
      </c>
      <c r="H754" s="146"/>
      <c r="I754" s="142"/>
      <c r="J754" s="142"/>
    </row>
    <row r="755" spans="2:10" x14ac:dyDescent="0.2">
      <c r="B755" s="143">
        <f t="shared" si="11"/>
        <v>29</v>
      </c>
      <c r="C755" s="138" t="str">
        <f>TEXT(Таблица8[[#This Row],[Дата]],"М")</f>
        <v>7</v>
      </c>
      <c r="D755" s="144">
        <v>44758</v>
      </c>
      <c r="E755" s="143" t="s">
        <v>72</v>
      </c>
      <c r="F755" s="143" t="s">
        <v>132</v>
      </c>
      <c r="G755" s="147">
        <v>10000</v>
      </c>
      <c r="H755" s="146" t="s">
        <v>133</v>
      </c>
      <c r="I755" s="142"/>
      <c r="J755" s="142"/>
    </row>
    <row r="756" spans="2:10" x14ac:dyDescent="0.2">
      <c r="B756" s="143">
        <f t="shared" si="11"/>
        <v>29</v>
      </c>
      <c r="C756" s="138" t="str">
        <f>TEXT(Таблица8[[#This Row],[Дата]],"М")</f>
        <v>7</v>
      </c>
      <c r="D756" s="144">
        <v>44758</v>
      </c>
      <c r="E756" s="143" t="s">
        <v>19</v>
      </c>
      <c r="F756" s="143" t="s">
        <v>96</v>
      </c>
      <c r="G756" s="147">
        <f>392+300+50+60</f>
        <v>802</v>
      </c>
      <c r="H756" s="146"/>
      <c r="I756" s="142"/>
      <c r="J756" s="142"/>
    </row>
    <row r="757" spans="2:10" x14ac:dyDescent="0.2">
      <c r="B757" s="143">
        <f t="shared" si="11"/>
        <v>29</v>
      </c>
      <c r="C757" s="138" t="str">
        <f>TEXT(Таблица8[[#This Row],[Дата]],"М")</f>
        <v>7</v>
      </c>
      <c r="D757" s="144">
        <v>44758</v>
      </c>
      <c r="E757" s="143" t="s">
        <v>20</v>
      </c>
      <c r="F757" s="143" t="s">
        <v>95</v>
      </c>
      <c r="G757" s="147">
        <v>86</v>
      </c>
      <c r="H757" s="146"/>
      <c r="I757" s="142"/>
      <c r="J757" s="142"/>
    </row>
    <row r="758" spans="2:10" x14ac:dyDescent="0.2">
      <c r="B758" s="143">
        <f t="shared" si="11"/>
        <v>29</v>
      </c>
      <c r="C758" s="138" t="str">
        <f>TEXT(Таблица8[[#This Row],[Дата]],"М")</f>
        <v>7</v>
      </c>
      <c r="D758" s="144">
        <v>44758</v>
      </c>
      <c r="E758" s="143" t="s">
        <v>20</v>
      </c>
      <c r="F758" s="143" t="s">
        <v>118</v>
      </c>
      <c r="G758" s="147">
        <v>175</v>
      </c>
      <c r="H758" s="146"/>
      <c r="I758" s="142"/>
      <c r="J758" s="142"/>
    </row>
    <row r="759" spans="2:10" x14ac:dyDescent="0.2">
      <c r="B759" s="143">
        <f t="shared" si="11"/>
        <v>29</v>
      </c>
      <c r="C759" s="138" t="str">
        <f>TEXT(Таблица8[[#This Row],[Дата]],"М")</f>
        <v>7</v>
      </c>
      <c r="D759" s="144">
        <v>44758</v>
      </c>
      <c r="E759" s="143" t="s">
        <v>72</v>
      </c>
      <c r="F759" s="143" t="s">
        <v>42</v>
      </c>
      <c r="G759" s="147">
        <v>20000</v>
      </c>
      <c r="H759" s="146"/>
      <c r="I759" s="142"/>
      <c r="J759" s="142"/>
    </row>
    <row r="760" spans="2:10" x14ac:dyDescent="0.2">
      <c r="B760" s="143">
        <f t="shared" si="11"/>
        <v>29</v>
      </c>
      <c r="C760" s="138" t="str">
        <f>TEXT(Таблица8[[#This Row],[Дата]],"М")</f>
        <v>7</v>
      </c>
      <c r="D760" s="144">
        <v>44758</v>
      </c>
      <c r="E760" s="143" t="s">
        <v>72</v>
      </c>
      <c r="F760" s="143" t="s">
        <v>45</v>
      </c>
      <c r="G760" s="147">
        <f>6900-1580-1000</f>
        <v>4320</v>
      </c>
      <c r="H760" s="146"/>
      <c r="I760" s="142"/>
      <c r="J760" s="142"/>
    </row>
    <row r="761" spans="2:10" x14ac:dyDescent="0.2">
      <c r="B761" s="143">
        <f t="shared" si="11"/>
        <v>29</v>
      </c>
      <c r="C761" s="138" t="str">
        <f>TEXT(Таблица8[[#This Row],[Дата]],"М")</f>
        <v>7</v>
      </c>
      <c r="D761" s="144">
        <v>44758</v>
      </c>
      <c r="E761" s="143" t="s">
        <v>24</v>
      </c>
      <c r="F761" s="143" t="s">
        <v>119</v>
      </c>
      <c r="G761" s="147">
        <v>500</v>
      </c>
      <c r="H761" s="146"/>
      <c r="I761" s="142"/>
      <c r="J761" s="142"/>
    </row>
    <row r="762" spans="2:10" x14ac:dyDescent="0.2">
      <c r="B762" s="143">
        <f t="shared" si="11"/>
        <v>29</v>
      </c>
      <c r="C762" s="138" t="str">
        <f>TEXT(Таблица8[[#This Row],[Дата]],"М")</f>
        <v>7</v>
      </c>
      <c r="D762" s="144">
        <v>44758</v>
      </c>
      <c r="E762" s="143" t="s">
        <v>72</v>
      </c>
      <c r="F762" s="143" t="s">
        <v>44</v>
      </c>
      <c r="G762" s="147">
        <v>600</v>
      </c>
      <c r="H762" s="146"/>
      <c r="I762" s="142"/>
      <c r="J762" s="142"/>
    </row>
    <row r="763" spans="2:10" x14ac:dyDescent="0.2">
      <c r="B763" s="143">
        <f t="shared" si="11"/>
        <v>29</v>
      </c>
      <c r="C763" s="138" t="str">
        <f>TEXT(Таблица8[[#This Row],[Дата]],"М")</f>
        <v>7</v>
      </c>
      <c r="D763" s="144">
        <v>44758</v>
      </c>
      <c r="E763" s="143" t="s">
        <v>72</v>
      </c>
      <c r="F763" s="143" t="s">
        <v>40</v>
      </c>
      <c r="G763" s="147">
        <v>2000</v>
      </c>
      <c r="H763" s="146"/>
      <c r="I763" s="142"/>
      <c r="J763" s="142"/>
    </row>
    <row r="764" spans="2:10" x14ac:dyDescent="0.2">
      <c r="B764" s="143">
        <f t="shared" si="11"/>
        <v>29</v>
      </c>
      <c r="C764" s="138" t="str">
        <f>TEXT(Таблица8[[#This Row],[Дата]],"М")</f>
        <v>7</v>
      </c>
      <c r="D764" s="144">
        <v>44758</v>
      </c>
      <c r="E764" s="143" t="s">
        <v>23</v>
      </c>
      <c r="F764" s="143" t="s">
        <v>103</v>
      </c>
      <c r="G764" s="147">
        <v>1580</v>
      </c>
      <c r="H764" s="146"/>
      <c r="I764" s="142"/>
      <c r="J764" s="142"/>
    </row>
    <row r="765" spans="2:10" x14ac:dyDescent="0.2">
      <c r="B765" s="137">
        <f t="shared" si="11"/>
        <v>30</v>
      </c>
      <c r="C765" s="138" t="str">
        <f>TEXT(Таблица8[[#This Row],[Дата]],"М")</f>
        <v>7</v>
      </c>
      <c r="D765" s="139">
        <v>44759</v>
      </c>
      <c r="E765" s="137" t="s">
        <v>23</v>
      </c>
      <c r="F765" s="137" t="s">
        <v>103</v>
      </c>
      <c r="G765" s="140">
        <v>400</v>
      </c>
      <c r="H765" s="141"/>
      <c r="I765" s="142"/>
      <c r="J765" s="142"/>
    </row>
    <row r="766" spans="2:10" x14ac:dyDescent="0.2">
      <c r="B766" s="143">
        <f t="shared" si="11"/>
        <v>30</v>
      </c>
      <c r="C766" s="138" t="str">
        <f>TEXT(Таблица8[[#This Row],[Дата]],"М")</f>
        <v>7</v>
      </c>
      <c r="D766" s="144">
        <v>44759</v>
      </c>
      <c r="E766" s="143" t="s">
        <v>71</v>
      </c>
      <c r="F766" s="143" t="s">
        <v>94</v>
      </c>
      <c r="G766" s="147">
        <f>64</f>
        <v>64</v>
      </c>
      <c r="H766" s="146"/>
      <c r="I766" s="142"/>
      <c r="J766" s="142"/>
    </row>
    <row r="767" spans="2:10" x14ac:dyDescent="0.2">
      <c r="B767" s="143">
        <f t="shared" ref="B767:B830" si="12">WEEKNUM(D767)</f>
        <v>30</v>
      </c>
      <c r="C767" s="138" t="str">
        <f>TEXT(Таблица8[[#This Row],[Дата]],"М")</f>
        <v>7</v>
      </c>
      <c r="D767" s="144">
        <v>44759</v>
      </c>
      <c r="E767" s="143" t="s">
        <v>20</v>
      </c>
      <c r="F767" s="143" t="s">
        <v>102</v>
      </c>
      <c r="G767" s="147">
        <v>160</v>
      </c>
      <c r="H767" s="146"/>
      <c r="I767" s="142"/>
      <c r="J767" s="142"/>
    </row>
    <row r="768" spans="2:10" x14ac:dyDescent="0.2">
      <c r="B768" s="143">
        <f t="shared" si="12"/>
        <v>30</v>
      </c>
      <c r="C768" s="138" t="str">
        <f>TEXT(Таблица8[[#This Row],[Дата]],"М")</f>
        <v>7</v>
      </c>
      <c r="D768" s="144">
        <v>44759</v>
      </c>
      <c r="E768" s="143" t="s">
        <v>22</v>
      </c>
      <c r="F768" s="143" t="s">
        <v>38</v>
      </c>
      <c r="G768" s="147">
        <v>202</v>
      </c>
      <c r="H768" s="146" t="s">
        <v>130</v>
      </c>
      <c r="I768" s="142"/>
      <c r="J768" s="142"/>
    </row>
    <row r="769" spans="2:10" x14ac:dyDescent="0.2">
      <c r="B769" s="143">
        <f t="shared" si="12"/>
        <v>30</v>
      </c>
      <c r="C769" s="138" t="str">
        <f>TEXT(Таблица8[[#This Row],[Дата]],"М")</f>
        <v>7</v>
      </c>
      <c r="D769" s="144">
        <v>44759</v>
      </c>
      <c r="E769" s="143" t="s">
        <v>19</v>
      </c>
      <c r="F769" s="143" t="s">
        <v>96</v>
      </c>
      <c r="G769" s="147">
        <v>85</v>
      </c>
      <c r="H769" s="146"/>
      <c r="I769" s="142"/>
      <c r="J769" s="142"/>
    </row>
    <row r="770" spans="2:10" x14ac:dyDescent="0.2">
      <c r="B770" s="137">
        <f t="shared" si="12"/>
        <v>30</v>
      </c>
      <c r="C770" s="138" t="str">
        <f>TEXT(Таблица8[[#This Row],[Дата]],"М")</f>
        <v>7</v>
      </c>
      <c r="D770" s="139">
        <v>44760</v>
      </c>
      <c r="E770" s="137" t="s">
        <v>71</v>
      </c>
      <c r="F770" s="137" t="s">
        <v>94</v>
      </c>
      <c r="G770" s="140">
        <f>64</f>
        <v>64</v>
      </c>
      <c r="H770" s="141"/>
      <c r="I770" s="142"/>
      <c r="J770" s="142"/>
    </row>
    <row r="771" spans="2:10" x14ac:dyDescent="0.2">
      <c r="B771" s="143">
        <f t="shared" si="12"/>
        <v>30</v>
      </c>
      <c r="C771" s="138" t="str">
        <f>TEXT(Таблица8[[#This Row],[Дата]],"М")</f>
        <v>7</v>
      </c>
      <c r="D771" s="144">
        <v>44760</v>
      </c>
      <c r="E771" s="143" t="s">
        <v>20</v>
      </c>
      <c r="F771" s="143" t="s">
        <v>95</v>
      </c>
      <c r="G771" s="147">
        <f>62+58</f>
        <v>120</v>
      </c>
      <c r="H771" s="146"/>
      <c r="I771" s="142"/>
      <c r="J771" s="142"/>
    </row>
    <row r="772" spans="2:10" x14ac:dyDescent="0.2">
      <c r="B772" s="143">
        <f t="shared" si="12"/>
        <v>30</v>
      </c>
      <c r="C772" s="138" t="str">
        <f>TEXT(Таблица8[[#This Row],[Дата]],"М")</f>
        <v>7</v>
      </c>
      <c r="D772" s="144">
        <v>44760</v>
      </c>
      <c r="E772" s="143" t="s">
        <v>19</v>
      </c>
      <c r="F772" s="143" t="s">
        <v>96</v>
      </c>
      <c r="G772" s="147">
        <v>155</v>
      </c>
      <c r="H772" s="146"/>
      <c r="I772" s="142"/>
      <c r="J772" s="142"/>
    </row>
    <row r="773" spans="2:10" x14ac:dyDescent="0.2">
      <c r="B773" s="137">
        <f t="shared" si="12"/>
        <v>30</v>
      </c>
      <c r="C773" s="138" t="str">
        <f>TEXT(Таблица8[[#This Row],[Дата]],"М")</f>
        <v>7</v>
      </c>
      <c r="D773" s="139">
        <v>44761</v>
      </c>
      <c r="E773" s="137" t="s">
        <v>71</v>
      </c>
      <c r="F773" s="137" t="s">
        <v>94</v>
      </c>
      <c r="G773" s="140">
        <v>64</v>
      </c>
      <c r="H773" s="141"/>
      <c r="I773" s="142"/>
      <c r="J773" s="142"/>
    </row>
    <row r="774" spans="2:10" x14ac:dyDescent="0.2">
      <c r="B774" s="143">
        <f t="shared" si="12"/>
        <v>30</v>
      </c>
      <c r="C774" s="138" t="str">
        <f>TEXT(Таблица8[[#This Row],[Дата]],"М")</f>
        <v>7</v>
      </c>
      <c r="D774" s="144">
        <v>44761</v>
      </c>
      <c r="E774" s="143" t="s">
        <v>20</v>
      </c>
      <c r="F774" s="143" t="s">
        <v>99</v>
      </c>
      <c r="G774" s="147">
        <v>126</v>
      </c>
      <c r="H774" s="146"/>
      <c r="I774" s="142"/>
      <c r="J774" s="142"/>
    </row>
    <row r="775" spans="2:10" x14ac:dyDescent="0.2">
      <c r="B775" s="143">
        <f t="shared" si="12"/>
        <v>30</v>
      </c>
      <c r="C775" s="138" t="str">
        <f>TEXT(Таблица8[[#This Row],[Дата]],"М")</f>
        <v>7</v>
      </c>
      <c r="D775" s="144">
        <v>44761</v>
      </c>
      <c r="E775" s="143" t="s">
        <v>20</v>
      </c>
      <c r="F775" s="143" t="s">
        <v>125</v>
      </c>
      <c r="G775" s="147">
        <v>150</v>
      </c>
      <c r="H775" s="146"/>
      <c r="I775" s="142"/>
      <c r="J775" s="142"/>
    </row>
    <row r="776" spans="2:10" x14ac:dyDescent="0.2">
      <c r="B776" s="143">
        <f t="shared" si="12"/>
        <v>30</v>
      </c>
      <c r="C776" s="138" t="str">
        <f>TEXT(Таблица8[[#This Row],[Дата]],"М")</f>
        <v>7</v>
      </c>
      <c r="D776" s="144">
        <v>44761</v>
      </c>
      <c r="E776" s="143" t="s">
        <v>19</v>
      </c>
      <c r="F776" s="143" t="s">
        <v>116</v>
      </c>
      <c r="G776" s="147">
        <v>134</v>
      </c>
      <c r="H776" s="146"/>
      <c r="I776" s="142"/>
      <c r="J776" s="142"/>
    </row>
    <row r="777" spans="2:10" x14ac:dyDescent="0.2">
      <c r="B777" s="137">
        <f t="shared" si="12"/>
        <v>30</v>
      </c>
      <c r="C777" s="138" t="str">
        <f>TEXT(Таблица8[[#This Row],[Дата]],"М")</f>
        <v>7</v>
      </c>
      <c r="D777" s="139">
        <v>44762</v>
      </c>
      <c r="E777" s="137" t="s">
        <v>71</v>
      </c>
      <c r="F777" s="137" t="s">
        <v>94</v>
      </c>
      <c r="G777" s="140">
        <v>64</v>
      </c>
      <c r="H777" s="141"/>
      <c r="I777" s="142"/>
      <c r="J777" s="142"/>
    </row>
    <row r="778" spans="2:10" x14ac:dyDescent="0.2">
      <c r="B778" s="143">
        <f t="shared" si="12"/>
        <v>30</v>
      </c>
      <c r="C778" s="138" t="str">
        <f>TEXT(Таблица8[[#This Row],[Дата]],"М")</f>
        <v>7</v>
      </c>
      <c r="D778" s="144">
        <v>44762</v>
      </c>
      <c r="E778" s="143" t="s">
        <v>20</v>
      </c>
      <c r="F778" s="143" t="s">
        <v>99</v>
      </c>
      <c r="G778" s="147">
        <v>113</v>
      </c>
      <c r="H778" s="146"/>
      <c r="I778" s="142"/>
      <c r="J778" s="142"/>
    </row>
    <row r="779" spans="2:10" x14ac:dyDescent="0.2">
      <c r="B779" s="143">
        <f t="shared" si="12"/>
        <v>30</v>
      </c>
      <c r="C779" s="138" t="str">
        <f>TEXT(Таблица8[[#This Row],[Дата]],"М")</f>
        <v>7</v>
      </c>
      <c r="D779" s="144">
        <v>44762</v>
      </c>
      <c r="E779" s="143" t="s">
        <v>19</v>
      </c>
      <c r="F779" s="143" t="s">
        <v>96</v>
      </c>
      <c r="G779" s="147">
        <f>233+110</f>
        <v>343</v>
      </c>
      <c r="H779" s="146"/>
      <c r="I779" s="142"/>
      <c r="J779" s="142"/>
    </row>
    <row r="780" spans="2:10" x14ac:dyDescent="0.2">
      <c r="B780" s="143">
        <f t="shared" si="12"/>
        <v>30</v>
      </c>
      <c r="C780" s="138" t="str">
        <f>TEXT(Таблица8[[#This Row],[Дата]],"М")</f>
        <v>7</v>
      </c>
      <c r="D780" s="144">
        <v>44762</v>
      </c>
      <c r="E780" s="143" t="s">
        <v>19</v>
      </c>
      <c r="F780" s="143" t="s">
        <v>96</v>
      </c>
      <c r="G780" s="147">
        <v>535</v>
      </c>
      <c r="H780" s="146"/>
      <c r="I780" s="142"/>
      <c r="J780" s="142"/>
    </row>
    <row r="781" spans="2:10" x14ac:dyDescent="0.2">
      <c r="B781" s="137">
        <f t="shared" si="12"/>
        <v>30</v>
      </c>
      <c r="C781" s="138" t="str">
        <f>TEXT(Таблица8[[#This Row],[Дата]],"М")</f>
        <v>7</v>
      </c>
      <c r="D781" s="139">
        <v>44763</v>
      </c>
      <c r="E781" s="137" t="s">
        <v>71</v>
      </c>
      <c r="F781" s="137" t="s">
        <v>94</v>
      </c>
      <c r="G781" s="140">
        <v>64</v>
      </c>
      <c r="H781" s="141"/>
      <c r="I781" s="142"/>
      <c r="J781" s="142"/>
    </row>
    <row r="782" spans="2:10" x14ac:dyDescent="0.2">
      <c r="B782" s="143">
        <f t="shared" si="12"/>
        <v>30</v>
      </c>
      <c r="C782" s="138" t="str">
        <f>TEXT(Таблица8[[#This Row],[Дата]],"М")</f>
        <v>7</v>
      </c>
      <c r="D782" s="144">
        <v>44763</v>
      </c>
      <c r="E782" s="143" t="s">
        <v>20</v>
      </c>
      <c r="F782" s="143" t="s">
        <v>99</v>
      </c>
      <c r="G782" s="147">
        <v>113</v>
      </c>
      <c r="H782" s="146"/>
      <c r="I782" s="142"/>
      <c r="J782" s="142"/>
    </row>
    <row r="783" spans="2:10" x14ac:dyDescent="0.2">
      <c r="B783" s="143">
        <f t="shared" si="12"/>
        <v>30</v>
      </c>
      <c r="C783" s="138" t="str">
        <f>TEXT(Таблица8[[#This Row],[Дата]],"М")</f>
        <v>7</v>
      </c>
      <c r="D783" s="144">
        <v>44763</v>
      </c>
      <c r="E783" s="143" t="s">
        <v>19</v>
      </c>
      <c r="F783" s="143" t="s">
        <v>96</v>
      </c>
      <c r="G783" s="147">
        <v>265</v>
      </c>
      <c r="H783" s="146"/>
      <c r="I783" s="142"/>
      <c r="J783" s="142"/>
    </row>
    <row r="784" spans="2:10" x14ac:dyDescent="0.2">
      <c r="B784" s="137">
        <f t="shared" si="12"/>
        <v>30</v>
      </c>
      <c r="C784" s="138" t="str">
        <f>TEXT(Таблица8[[#This Row],[Дата]],"М")</f>
        <v>7</v>
      </c>
      <c r="D784" s="139">
        <v>44764</v>
      </c>
      <c r="E784" s="137" t="s">
        <v>71</v>
      </c>
      <c r="F784" s="137" t="s">
        <v>94</v>
      </c>
      <c r="G784" s="140">
        <v>64</v>
      </c>
      <c r="H784" s="141"/>
      <c r="I784" s="142"/>
      <c r="J784" s="142"/>
    </row>
    <row r="785" spans="2:10" x14ac:dyDescent="0.2">
      <c r="B785" s="143">
        <f t="shared" si="12"/>
        <v>30</v>
      </c>
      <c r="C785" s="138" t="str">
        <f>TEXT(Таблица8[[#This Row],[Дата]],"М")</f>
        <v>7</v>
      </c>
      <c r="D785" s="144">
        <v>44764</v>
      </c>
      <c r="E785" s="143" t="s">
        <v>20</v>
      </c>
      <c r="F785" s="143" t="s">
        <v>99</v>
      </c>
      <c r="G785" s="147">
        <v>130</v>
      </c>
      <c r="H785" s="146"/>
      <c r="I785" s="142"/>
      <c r="J785" s="142"/>
    </row>
    <row r="786" spans="2:10" x14ac:dyDescent="0.2">
      <c r="B786" s="143">
        <f t="shared" si="12"/>
        <v>30</v>
      </c>
      <c r="C786" s="138" t="str">
        <f>TEXT(Таблица8[[#This Row],[Дата]],"М")</f>
        <v>7</v>
      </c>
      <c r="D786" s="144">
        <v>44764</v>
      </c>
      <c r="E786" s="143" t="s">
        <v>20</v>
      </c>
      <c r="F786" s="143" t="s">
        <v>118</v>
      </c>
      <c r="G786" s="147">
        <v>385</v>
      </c>
      <c r="H786" s="146"/>
      <c r="I786" s="142"/>
      <c r="J786" s="142"/>
    </row>
    <row r="787" spans="2:10" x14ac:dyDescent="0.2">
      <c r="B787" s="137">
        <f t="shared" si="12"/>
        <v>30</v>
      </c>
      <c r="C787" s="138" t="str">
        <f>TEXT(Таблица8[[#This Row],[Дата]],"М")</f>
        <v>7</v>
      </c>
      <c r="D787" s="139">
        <v>44765</v>
      </c>
      <c r="E787" s="137" t="s">
        <v>29</v>
      </c>
      <c r="F787" s="137" t="s">
        <v>107</v>
      </c>
      <c r="G787" s="140">
        <v>310</v>
      </c>
      <c r="H787" s="141" t="s">
        <v>130</v>
      </c>
      <c r="I787" s="142"/>
      <c r="J787" s="142"/>
    </row>
    <row r="788" spans="2:10" x14ac:dyDescent="0.2">
      <c r="B788" s="143">
        <f t="shared" si="12"/>
        <v>30</v>
      </c>
      <c r="C788" s="138" t="str">
        <f>TEXT(Таблица8[[#This Row],[Дата]],"М")</f>
        <v>7</v>
      </c>
      <c r="D788" s="144">
        <v>44765</v>
      </c>
      <c r="E788" s="143" t="s">
        <v>24</v>
      </c>
      <c r="F788" s="143" t="s">
        <v>124</v>
      </c>
      <c r="G788" s="147">
        <v>5000</v>
      </c>
      <c r="H788" s="146"/>
      <c r="I788" s="142"/>
      <c r="J788" s="142"/>
    </row>
    <row r="789" spans="2:10" x14ac:dyDescent="0.2">
      <c r="B789" s="143">
        <f t="shared" si="12"/>
        <v>30</v>
      </c>
      <c r="C789" s="138" t="str">
        <f>TEXT(Таблица8[[#This Row],[Дата]],"М")</f>
        <v>7</v>
      </c>
      <c r="D789" s="144">
        <v>44765</v>
      </c>
      <c r="E789" s="143" t="s">
        <v>20</v>
      </c>
      <c r="F789" s="143" t="s">
        <v>95</v>
      </c>
      <c r="G789" s="147">
        <f>25+110+19+77</f>
        <v>231</v>
      </c>
      <c r="H789" s="146"/>
      <c r="I789" s="142"/>
      <c r="J789" s="142"/>
    </row>
    <row r="790" spans="2:10" x14ac:dyDescent="0.2">
      <c r="B790" s="143">
        <f t="shared" si="12"/>
        <v>30</v>
      </c>
      <c r="C790" s="138" t="str">
        <f>TEXT(Таблица8[[#This Row],[Дата]],"М")</f>
        <v>7</v>
      </c>
      <c r="D790" s="144">
        <v>44765</v>
      </c>
      <c r="E790" s="143" t="s">
        <v>19</v>
      </c>
      <c r="F790" s="143" t="s">
        <v>116</v>
      </c>
      <c r="G790" s="147">
        <v>182</v>
      </c>
      <c r="H790" s="146"/>
      <c r="I790" s="142"/>
      <c r="J790" s="142"/>
    </row>
    <row r="791" spans="2:10" x14ac:dyDescent="0.2">
      <c r="B791" s="137">
        <f t="shared" si="12"/>
        <v>31</v>
      </c>
      <c r="C791" s="138" t="str">
        <f>TEXT(Таблица8[[#This Row],[Дата]],"М")</f>
        <v>7</v>
      </c>
      <c r="D791" s="139">
        <v>44766</v>
      </c>
      <c r="E791" s="137" t="s">
        <v>71</v>
      </c>
      <c r="F791" s="137" t="s">
        <v>91</v>
      </c>
      <c r="G791" s="140">
        <v>213</v>
      </c>
      <c r="H791" s="141"/>
      <c r="I791" s="142"/>
      <c r="J791" s="142"/>
    </row>
    <row r="792" spans="2:10" x14ac:dyDescent="0.2">
      <c r="B792" s="143">
        <f t="shared" si="12"/>
        <v>31</v>
      </c>
      <c r="C792" s="138" t="str">
        <f>TEXT(Таблица8[[#This Row],[Дата]],"М")</f>
        <v>7</v>
      </c>
      <c r="D792" s="144">
        <v>44766</v>
      </c>
      <c r="E792" s="143" t="s">
        <v>19</v>
      </c>
      <c r="F792" s="143" t="s">
        <v>96</v>
      </c>
      <c r="G792" s="147">
        <v>91</v>
      </c>
      <c r="H792" s="146"/>
      <c r="I792" s="142"/>
      <c r="J792" s="142"/>
    </row>
    <row r="793" spans="2:10" x14ac:dyDescent="0.2">
      <c r="B793" s="143">
        <f t="shared" si="12"/>
        <v>31</v>
      </c>
      <c r="C793" s="138" t="str">
        <f>TEXT(Таблица8[[#This Row],[Дата]],"М")</f>
        <v>7</v>
      </c>
      <c r="D793" s="144">
        <v>44766</v>
      </c>
      <c r="E793" s="143" t="s">
        <v>20</v>
      </c>
      <c r="F793" s="143" t="s">
        <v>97</v>
      </c>
      <c r="G793" s="147">
        <v>860</v>
      </c>
      <c r="H793" s="146"/>
      <c r="I793" s="142"/>
      <c r="J793" s="142"/>
    </row>
    <row r="794" spans="2:10" x14ac:dyDescent="0.2">
      <c r="B794" s="143">
        <f t="shared" si="12"/>
        <v>31</v>
      </c>
      <c r="C794" s="138" t="str">
        <f>TEXT(Таблица8[[#This Row],[Дата]],"М")</f>
        <v>7</v>
      </c>
      <c r="D794" s="144">
        <v>44766</v>
      </c>
      <c r="E794" s="143" t="s">
        <v>20</v>
      </c>
      <c r="F794" s="143" t="s">
        <v>95</v>
      </c>
      <c r="G794" s="147">
        <v>100</v>
      </c>
      <c r="H794" s="146"/>
      <c r="I794" s="142"/>
      <c r="J794" s="142"/>
    </row>
    <row r="795" spans="2:10" x14ac:dyDescent="0.2">
      <c r="B795" s="143">
        <f t="shared" si="12"/>
        <v>31</v>
      </c>
      <c r="C795" s="138" t="str">
        <f>TEXT(Таблица8[[#This Row],[Дата]],"М")</f>
        <v>7</v>
      </c>
      <c r="D795" s="144">
        <v>44766</v>
      </c>
      <c r="E795" s="143" t="s">
        <v>30</v>
      </c>
      <c r="F795" s="143" t="s">
        <v>98</v>
      </c>
      <c r="G795" s="147">
        <v>650</v>
      </c>
      <c r="H795" s="146"/>
      <c r="I795" s="142"/>
      <c r="J795" s="142"/>
    </row>
    <row r="796" spans="2:10" x14ac:dyDescent="0.2">
      <c r="B796" s="137">
        <f t="shared" si="12"/>
        <v>31</v>
      </c>
      <c r="C796" s="138" t="str">
        <f>TEXT(Таблица8[[#This Row],[Дата]],"М")</f>
        <v>7</v>
      </c>
      <c r="D796" s="139">
        <v>44767</v>
      </c>
      <c r="E796" s="137" t="s">
        <v>71</v>
      </c>
      <c r="F796" s="137" t="s">
        <v>94</v>
      </c>
      <c r="G796" s="140">
        <v>64</v>
      </c>
      <c r="H796" s="141"/>
      <c r="I796" s="142"/>
      <c r="J796" s="142"/>
    </row>
    <row r="797" spans="2:10" x14ac:dyDescent="0.2">
      <c r="B797" s="143">
        <f t="shared" si="12"/>
        <v>31</v>
      </c>
      <c r="C797" s="138" t="str">
        <f>TEXT(Таблица8[[#This Row],[Дата]],"М")</f>
        <v>7</v>
      </c>
      <c r="D797" s="144">
        <v>44767</v>
      </c>
      <c r="E797" s="143" t="s">
        <v>20</v>
      </c>
      <c r="F797" s="143" t="s">
        <v>99</v>
      </c>
      <c r="G797" s="147">
        <v>196</v>
      </c>
      <c r="H797" s="146"/>
      <c r="I797" s="142"/>
      <c r="J797" s="142"/>
    </row>
    <row r="798" spans="2:10" x14ac:dyDescent="0.2">
      <c r="B798" s="143">
        <f t="shared" si="12"/>
        <v>31</v>
      </c>
      <c r="C798" s="138" t="str">
        <f>TEXT(Таблица8[[#This Row],[Дата]],"М")</f>
        <v>7</v>
      </c>
      <c r="D798" s="144">
        <v>44767</v>
      </c>
      <c r="E798" s="143" t="s">
        <v>23</v>
      </c>
      <c r="F798" s="143" t="s">
        <v>103</v>
      </c>
      <c r="G798" s="147">
        <v>130</v>
      </c>
      <c r="H798" s="146"/>
      <c r="I798" s="142"/>
      <c r="J798" s="142"/>
    </row>
    <row r="799" spans="2:10" x14ac:dyDescent="0.2">
      <c r="B799" s="143">
        <f t="shared" si="12"/>
        <v>31</v>
      </c>
      <c r="C799" s="138" t="str">
        <f>TEXT(Таблица8[[#This Row],[Дата]],"М")</f>
        <v>7</v>
      </c>
      <c r="D799" s="144">
        <v>44767</v>
      </c>
      <c r="E799" s="143" t="s">
        <v>19</v>
      </c>
      <c r="F799" s="143" t="s">
        <v>96</v>
      </c>
      <c r="G799" s="147">
        <f>160+93+2+106+95</f>
        <v>456</v>
      </c>
      <c r="H799" s="146"/>
      <c r="I799" s="142"/>
      <c r="J799" s="142"/>
    </row>
    <row r="800" spans="2:10" x14ac:dyDescent="0.2">
      <c r="B800" s="137">
        <f t="shared" si="12"/>
        <v>31</v>
      </c>
      <c r="C800" s="138" t="str">
        <f>TEXT(Таблица8[[#This Row],[Дата]],"М")</f>
        <v>7</v>
      </c>
      <c r="D800" s="139">
        <v>44768</v>
      </c>
      <c r="E800" s="137" t="s">
        <v>71</v>
      </c>
      <c r="F800" s="137" t="s">
        <v>94</v>
      </c>
      <c r="G800" s="140">
        <v>64</v>
      </c>
      <c r="H800" s="141"/>
      <c r="I800" s="142"/>
      <c r="J800" s="142"/>
    </row>
    <row r="801" spans="2:10" x14ac:dyDescent="0.2">
      <c r="B801" s="143">
        <f t="shared" si="12"/>
        <v>31</v>
      </c>
      <c r="C801" s="138" t="str">
        <f>TEXT(Таблица8[[#This Row],[Дата]],"М")</f>
        <v>7</v>
      </c>
      <c r="D801" s="144">
        <v>44768</v>
      </c>
      <c r="E801" s="143" t="s">
        <v>20</v>
      </c>
      <c r="F801" s="143" t="s">
        <v>99</v>
      </c>
      <c r="G801" s="147">
        <v>231</v>
      </c>
      <c r="H801" s="146"/>
      <c r="I801" s="142"/>
      <c r="J801" s="142"/>
    </row>
    <row r="802" spans="2:10" x14ac:dyDescent="0.2">
      <c r="B802" s="143">
        <f t="shared" si="12"/>
        <v>31</v>
      </c>
      <c r="C802" s="138" t="str">
        <f>TEXT(Таблица8[[#This Row],[Дата]],"М")</f>
        <v>7</v>
      </c>
      <c r="D802" s="144">
        <v>44768</v>
      </c>
      <c r="E802" s="143" t="s">
        <v>19</v>
      </c>
      <c r="F802" s="143" t="s">
        <v>96</v>
      </c>
      <c r="G802" s="147">
        <v>210</v>
      </c>
      <c r="H802" s="146"/>
      <c r="I802" s="142"/>
      <c r="J802" s="142"/>
    </row>
    <row r="803" spans="2:10" x14ac:dyDescent="0.2">
      <c r="B803" s="137">
        <f t="shared" si="12"/>
        <v>31</v>
      </c>
      <c r="C803" s="138" t="str">
        <f>TEXT(Таблица8[[#This Row],[Дата]],"М")</f>
        <v>7</v>
      </c>
      <c r="D803" s="139">
        <v>44769</v>
      </c>
      <c r="E803" s="137" t="s">
        <v>71</v>
      </c>
      <c r="F803" s="137" t="s">
        <v>94</v>
      </c>
      <c r="G803" s="140">
        <v>64</v>
      </c>
      <c r="H803" s="141"/>
      <c r="I803" s="142"/>
      <c r="J803" s="142"/>
    </row>
    <row r="804" spans="2:10" x14ac:dyDescent="0.2">
      <c r="B804" s="143">
        <f t="shared" si="12"/>
        <v>31</v>
      </c>
      <c r="C804" s="138" t="str">
        <f>TEXT(Таблица8[[#This Row],[Дата]],"М")</f>
        <v>7</v>
      </c>
      <c r="D804" s="144">
        <v>44769</v>
      </c>
      <c r="E804" s="143" t="s">
        <v>19</v>
      </c>
      <c r="F804" s="143" t="s">
        <v>96</v>
      </c>
      <c r="G804" s="147">
        <f>119+59+2+184+62</f>
        <v>426</v>
      </c>
      <c r="H804" s="146"/>
      <c r="I804" s="142"/>
      <c r="J804" s="142"/>
    </row>
    <row r="805" spans="2:10" x14ac:dyDescent="0.2">
      <c r="B805" s="137">
        <f t="shared" si="12"/>
        <v>31</v>
      </c>
      <c r="C805" s="138" t="str">
        <f>TEXT(Таблица8[[#This Row],[Дата]],"М")</f>
        <v>7</v>
      </c>
      <c r="D805" s="139">
        <v>44770</v>
      </c>
      <c r="E805" s="137" t="s">
        <v>71</v>
      </c>
      <c r="F805" s="137" t="s">
        <v>94</v>
      </c>
      <c r="G805" s="140">
        <v>64</v>
      </c>
      <c r="H805" s="141"/>
      <c r="I805" s="142"/>
      <c r="J805" s="142"/>
    </row>
    <row r="806" spans="2:10" x14ac:dyDescent="0.2">
      <c r="B806" s="143">
        <f t="shared" si="12"/>
        <v>31</v>
      </c>
      <c r="C806" s="138" t="str">
        <f>TEXT(Таблица8[[#This Row],[Дата]],"М")</f>
        <v>7</v>
      </c>
      <c r="D806" s="144">
        <v>44770</v>
      </c>
      <c r="E806" s="143" t="s">
        <v>20</v>
      </c>
      <c r="F806" s="143" t="s">
        <v>99</v>
      </c>
      <c r="G806" s="147">
        <v>274</v>
      </c>
      <c r="H806" s="146"/>
      <c r="I806" s="142"/>
      <c r="J806" s="142"/>
    </row>
    <row r="807" spans="2:10" x14ac:dyDescent="0.2">
      <c r="B807" s="143">
        <f t="shared" si="12"/>
        <v>31</v>
      </c>
      <c r="C807" s="138" t="str">
        <f>TEXT(Таблица8[[#This Row],[Дата]],"М")</f>
        <v>7</v>
      </c>
      <c r="D807" s="144">
        <v>44770</v>
      </c>
      <c r="E807" s="143" t="s">
        <v>20</v>
      </c>
      <c r="F807" s="143" t="s">
        <v>95</v>
      </c>
      <c r="G807" s="147">
        <f>42+75</f>
        <v>117</v>
      </c>
      <c r="H807" s="146"/>
      <c r="I807" s="142"/>
      <c r="J807" s="142"/>
    </row>
    <row r="808" spans="2:10" x14ac:dyDescent="0.2">
      <c r="B808" s="137">
        <f t="shared" si="12"/>
        <v>31</v>
      </c>
      <c r="C808" s="138" t="str">
        <f>TEXT(Таблица8[[#This Row],[Дата]],"М")</f>
        <v>7</v>
      </c>
      <c r="D808" s="139">
        <v>44771</v>
      </c>
      <c r="E808" s="137" t="s">
        <v>71</v>
      </c>
      <c r="F808" s="137" t="s">
        <v>94</v>
      </c>
      <c r="G808" s="140">
        <v>64</v>
      </c>
      <c r="H808" s="141"/>
      <c r="I808" s="142"/>
      <c r="J808" s="142"/>
    </row>
    <row r="809" spans="2:10" x14ac:dyDescent="0.2">
      <c r="B809" s="143">
        <f t="shared" si="12"/>
        <v>31</v>
      </c>
      <c r="C809" s="138" t="str">
        <f>TEXT(Таблица8[[#This Row],[Дата]],"М")</f>
        <v>7</v>
      </c>
      <c r="D809" s="144">
        <v>44771</v>
      </c>
      <c r="E809" s="143" t="s">
        <v>20</v>
      </c>
      <c r="F809" s="143" t="s">
        <v>99</v>
      </c>
      <c r="G809" s="147">
        <f>142+86</f>
        <v>228</v>
      </c>
      <c r="H809" s="146"/>
      <c r="I809" s="142"/>
      <c r="J809" s="142"/>
    </row>
    <row r="810" spans="2:10" x14ac:dyDescent="0.2">
      <c r="B810" s="143">
        <f t="shared" si="12"/>
        <v>31</v>
      </c>
      <c r="C810" s="138" t="str">
        <f>TEXT(Таблица8[[#This Row],[Дата]],"М")</f>
        <v>7</v>
      </c>
      <c r="D810" s="144">
        <v>44771</v>
      </c>
      <c r="E810" s="143" t="s">
        <v>20</v>
      </c>
      <c r="F810" s="143" t="s">
        <v>95</v>
      </c>
      <c r="G810" s="147">
        <v>90</v>
      </c>
      <c r="H810" s="146"/>
      <c r="I810" s="142"/>
      <c r="J810" s="142"/>
    </row>
    <row r="811" spans="2:10" x14ac:dyDescent="0.2">
      <c r="B811" s="137">
        <f t="shared" si="12"/>
        <v>31</v>
      </c>
      <c r="C811" s="138" t="str">
        <f>TEXT(Таблица8[[#This Row],[Дата]],"М")</f>
        <v>7</v>
      </c>
      <c r="D811" s="139">
        <v>44772</v>
      </c>
      <c r="E811" s="137" t="s">
        <v>71</v>
      </c>
      <c r="F811" s="137" t="s">
        <v>94</v>
      </c>
      <c r="G811" s="140">
        <v>64</v>
      </c>
      <c r="H811" s="141"/>
      <c r="I811" s="142"/>
      <c r="J811" s="142"/>
    </row>
    <row r="812" spans="2:10" x14ac:dyDescent="0.2">
      <c r="B812" s="143">
        <f t="shared" si="12"/>
        <v>31</v>
      </c>
      <c r="C812" s="138" t="str">
        <f>TEXT(Таблица8[[#This Row],[Дата]],"М")</f>
        <v>7</v>
      </c>
      <c r="D812" s="144">
        <v>44772</v>
      </c>
      <c r="E812" s="143" t="s">
        <v>20</v>
      </c>
      <c r="F812" s="143" t="s">
        <v>95</v>
      </c>
      <c r="G812" s="147">
        <v>172</v>
      </c>
      <c r="H812" s="146"/>
      <c r="I812" s="142"/>
      <c r="J812" s="142"/>
    </row>
    <row r="813" spans="2:10" x14ac:dyDescent="0.2">
      <c r="B813" s="143">
        <f t="shared" si="12"/>
        <v>31</v>
      </c>
      <c r="C813" s="138" t="str">
        <f>TEXT(Таблица8[[#This Row],[Дата]],"М")</f>
        <v>7</v>
      </c>
      <c r="D813" s="144">
        <v>44772</v>
      </c>
      <c r="E813" s="143" t="s">
        <v>19</v>
      </c>
      <c r="F813" s="143" t="s">
        <v>96</v>
      </c>
      <c r="G813" s="147">
        <v>100</v>
      </c>
      <c r="H813" s="146"/>
      <c r="I813" s="142"/>
      <c r="J813" s="142"/>
    </row>
    <row r="814" spans="2:10" x14ac:dyDescent="0.2">
      <c r="B814" s="137">
        <f t="shared" si="12"/>
        <v>32</v>
      </c>
      <c r="C814" s="138" t="str">
        <f>TEXT(Таблица8[[#This Row],[Дата]],"М")</f>
        <v>7</v>
      </c>
      <c r="D814" s="139">
        <v>44773</v>
      </c>
      <c r="E814" s="137" t="s">
        <v>71</v>
      </c>
      <c r="F814" s="137" t="s">
        <v>94</v>
      </c>
      <c r="G814" s="140">
        <v>64</v>
      </c>
      <c r="H814" s="141"/>
      <c r="I814" s="142"/>
      <c r="J814" s="142"/>
    </row>
    <row r="815" spans="2:10" x14ac:dyDescent="0.2">
      <c r="B815" s="143">
        <f t="shared" si="12"/>
        <v>32</v>
      </c>
      <c r="C815" s="138" t="str">
        <f>TEXT(Таблица8[[#This Row],[Дата]],"М")</f>
        <v>7</v>
      </c>
      <c r="D815" s="144">
        <v>44773</v>
      </c>
      <c r="E815" s="143" t="s">
        <v>26</v>
      </c>
      <c r="F815" s="143" t="s">
        <v>120</v>
      </c>
      <c r="G815" s="147">
        <v>1355</v>
      </c>
      <c r="H815" s="146"/>
      <c r="I815" s="142"/>
      <c r="J815" s="142"/>
    </row>
    <row r="816" spans="2:10" x14ac:dyDescent="0.2">
      <c r="B816" s="143">
        <f t="shared" si="12"/>
        <v>32</v>
      </c>
      <c r="C816" s="138" t="str">
        <f>TEXT(Таблица8[[#This Row],[Дата]],"М")</f>
        <v>7</v>
      </c>
      <c r="D816" s="144">
        <v>44773</v>
      </c>
      <c r="E816" s="143" t="s">
        <v>71</v>
      </c>
      <c r="F816" s="143" t="s">
        <v>91</v>
      </c>
      <c r="G816" s="147">
        <v>233</v>
      </c>
      <c r="H816" s="146"/>
      <c r="I816" s="142"/>
      <c r="J816" s="142"/>
    </row>
    <row r="817" spans="2:10" x14ac:dyDescent="0.2">
      <c r="B817" s="143">
        <f t="shared" si="12"/>
        <v>32</v>
      </c>
      <c r="C817" s="138" t="str">
        <f>TEXT(Таблица8[[#This Row],[Дата]],"М")</f>
        <v>7</v>
      </c>
      <c r="D817" s="144">
        <v>44773</v>
      </c>
      <c r="E817" s="143" t="s">
        <v>24</v>
      </c>
      <c r="F817" s="143"/>
      <c r="G817" s="147">
        <v>2500</v>
      </c>
      <c r="H817" s="146"/>
      <c r="I817" s="142"/>
      <c r="J817" s="142"/>
    </row>
    <row r="818" spans="2:10" x14ac:dyDescent="0.2">
      <c r="B818" s="143">
        <f t="shared" si="12"/>
        <v>32</v>
      </c>
      <c r="C818" s="138" t="str">
        <f>TEXT(Таблица8[[#This Row],[Дата]],"М")</f>
        <v>7</v>
      </c>
      <c r="D818" s="144">
        <v>44773</v>
      </c>
      <c r="E818" s="143" t="s">
        <v>19</v>
      </c>
      <c r="F818" s="143" t="s">
        <v>116</v>
      </c>
      <c r="G818" s="147">
        <v>229</v>
      </c>
      <c r="H818" s="146"/>
      <c r="I818" s="142"/>
      <c r="J818" s="142"/>
    </row>
    <row r="819" spans="2:10" x14ac:dyDescent="0.2">
      <c r="B819" s="137">
        <f t="shared" si="12"/>
        <v>32</v>
      </c>
      <c r="C819" s="138" t="str">
        <f>TEXT(Таблица8[[#This Row],[Дата]],"М")</f>
        <v>8</v>
      </c>
      <c r="D819" s="139">
        <v>44774</v>
      </c>
      <c r="E819" s="137" t="s">
        <v>71</v>
      </c>
      <c r="F819" s="137" t="s">
        <v>94</v>
      </c>
      <c r="G819" s="140">
        <f>64</f>
        <v>64</v>
      </c>
      <c r="H819" s="141"/>
      <c r="I819" s="142"/>
      <c r="J819" s="142"/>
    </row>
    <row r="820" spans="2:10" x14ac:dyDescent="0.2">
      <c r="B820" s="143">
        <f t="shared" si="12"/>
        <v>32</v>
      </c>
      <c r="C820" s="138" t="str">
        <f>TEXT(Таблица8[[#This Row],[Дата]],"М")</f>
        <v>8</v>
      </c>
      <c r="D820" s="144">
        <v>44774</v>
      </c>
      <c r="E820" s="143" t="s">
        <v>20</v>
      </c>
      <c r="F820" s="143" t="s">
        <v>99</v>
      </c>
      <c r="G820" s="147">
        <v>93</v>
      </c>
      <c r="H820" s="146"/>
      <c r="I820" s="142"/>
      <c r="J820" s="142"/>
    </row>
    <row r="821" spans="2:10" x14ac:dyDescent="0.2">
      <c r="B821" s="143">
        <f t="shared" si="12"/>
        <v>32</v>
      </c>
      <c r="C821" s="138" t="str">
        <f>TEXT(Таблица8[[#This Row],[Дата]],"М")</f>
        <v>8</v>
      </c>
      <c r="D821" s="144">
        <v>44774</v>
      </c>
      <c r="E821" s="143" t="s">
        <v>19</v>
      </c>
      <c r="F821" s="143" t="s">
        <v>96</v>
      </c>
      <c r="G821" s="147">
        <v>32</v>
      </c>
      <c r="H821" s="146"/>
      <c r="I821" s="142"/>
      <c r="J821" s="142"/>
    </row>
    <row r="822" spans="2:10" x14ac:dyDescent="0.2">
      <c r="B822" s="143">
        <f t="shared" si="12"/>
        <v>32</v>
      </c>
      <c r="C822" s="138" t="str">
        <f>TEXT(Таблица8[[#This Row],[Дата]],"М")</f>
        <v>8</v>
      </c>
      <c r="D822" s="144">
        <v>44774</v>
      </c>
      <c r="E822" s="143" t="s">
        <v>26</v>
      </c>
      <c r="F822" s="143" t="s">
        <v>120</v>
      </c>
      <c r="G822" s="147">
        <f>180+60</f>
        <v>240</v>
      </c>
      <c r="H822" s="146"/>
      <c r="I822" s="142"/>
      <c r="J822" s="142"/>
    </row>
    <row r="823" spans="2:10" x14ac:dyDescent="0.2">
      <c r="B823" s="137">
        <f t="shared" si="12"/>
        <v>32</v>
      </c>
      <c r="C823" s="138" t="str">
        <f>TEXT(Таблица8[[#This Row],[Дата]],"М")</f>
        <v>8</v>
      </c>
      <c r="D823" s="139">
        <v>44775</v>
      </c>
      <c r="E823" s="137" t="s">
        <v>71</v>
      </c>
      <c r="F823" s="137" t="s">
        <v>108</v>
      </c>
      <c r="G823" s="140">
        <v>32</v>
      </c>
      <c r="H823" s="141"/>
      <c r="I823" s="142"/>
      <c r="J823" s="142"/>
    </row>
    <row r="824" spans="2:10" x14ac:dyDescent="0.2">
      <c r="B824" s="143">
        <f t="shared" si="12"/>
        <v>32</v>
      </c>
      <c r="C824" s="138" t="str">
        <f>TEXT(Таблица8[[#This Row],[Дата]],"М")</f>
        <v>8</v>
      </c>
      <c r="D824" s="144">
        <v>44775</v>
      </c>
      <c r="E824" s="143" t="s">
        <v>71</v>
      </c>
      <c r="F824" s="143" t="s">
        <v>115</v>
      </c>
      <c r="G824" s="147">
        <v>260</v>
      </c>
      <c r="H824" s="146"/>
      <c r="I824" s="142"/>
      <c r="J824" s="142"/>
    </row>
    <row r="825" spans="2:10" x14ac:dyDescent="0.2">
      <c r="B825" s="143">
        <f t="shared" si="12"/>
        <v>32</v>
      </c>
      <c r="C825" s="138" t="str">
        <f>TEXT(Таблица8[[#This Row],[Дата]],"М")</f>
        <v>8</v>
      </c>
      <c r="D825" s="144">
        <v>44775</v>
      </c>
      <c r="E825" s="143" t="s">
        <v>71</v>
      </c>
      <c r="F825" s="143" t="s">
        <v>91</v>
      </c>
      <c r="G825" s="147">
        <v>123</v>
      </c>
      <c r="H825" s="146"/>
      <c r="I825" s="142"/>
      <c r="J825" s="142"/>
    </row>
    <row r="826" spans="2:10" x14ac:dyDescent="0.2">
      <c r="B826" s="143">
        <f t="shared" si="12"/>
        <v>32</v>
      </c>
      <c r="C826" s="138" t="str">
        <f>TEXT(Таблица8[[#This Row],[Дата]],"М")</f>
        <v>8</v>
      </c>
      <c r="D826" s="144">
        <v>44775</v>
      </c>
      <c r="E826" s="143" t="s">
        <v>30</v>
      </c>
      <c r="F826" s="143" t="s">
        <v>100</v>
      </c>
      <c r="G826" s="147">
        <v>340</v>
      </c>
      <c r="H826" s="146"/>
      <c r="I826" s="142"/>
      <c r="J826" s="142"/>
    </row>
    <row r="827" spans="2:10" x14ac:dyDescent="0.2">
      <c r="B827" s="143">
        <f t="shared" si="12"/>
        <v>32</v>
      </c>
      <c r="C827" s="138" t="str">
        <f>TEXT(Таблица8[[#This Row],[Дата]],"М")</f>
        <v>8</v>
      </c>
      <c r="D827" s="144">
        <v>44775</v>
      </c>
      <c r="E827" s="143" t="s">
        <v>71</v>
      </c>
      <c r="F827" s="143" t="s">
        <v>115</v>
      </c>
      <c r="G827" s="147">
        <v>264</v>
      </c>
      <c r="H827" s="146"/>
      <c r="I827" s="142"/>
      <c r="J827" s="142"/>
    </row>
    <row r="828" spans="2:10" x14ac:dyDescent="0.2">
      <c r="B828" s="143">
        <f t="shared" si="12"/>
        <v>32</v>
      </c>
      <c r="C828" s="138" t="str">
        <f>TEXT(Таблица8[[#This Row],[Дата]],"М")</f>
        <v>8</v>
      </c>
      <c r="D828" s="144">
        <v>44775</v>
      </c>
      <c r="E828" s="143" t="s">
        <v>22</v>
      </c>
      <c r="F828" s="143" t="s">
        <v>38</v>
      </c>
      <c r="G828" s="147">
        <v>119</v>
      </c>
      <c r="H828" s="146"/>
      <c r="I828" s="142"/>
      <c r="J828" s="142"/>
    </row>
    <row r="829" spans="2:10" x14ac:dyDescent="0.2">
      <c r="B829" s="143">
        <f t="shared" si="12"/>
        <v>32</v>
      </c>
      <c r="C829" s="138" t="str">
        <f>TEXT(Таблица8[[#This Row],[Дата]],"М")</f>
        <v>8</v>
      </c>
      <c r="D829" s="144">
        <v>44775</v>
      </c>
      <c r="E829" s="143" t="s">
        <v>20</v>
      </c>
      <c r="F829" s="143" t="s">
        <v>95</v>
      </c>
      <c r="G829" s="147">
        <v>80</v>
      </c>
      <c r="H829" s="146"/>
      <c r="I829" s="142"/>
      <c r="J829" s="142"/>
    </row>
    <row r="830" spans="2:10" x14ac:dyDescent="0.2">
      <c r="B830" s="137">
        <f t="shared" si="12"/>
        <v>32</v>
      </c>
      <c r="C830" s="138" t="str">
        <f>TEXT(Таблица8[[#This Row],[Дата]],"М")</f>
        <v>8</v>
      </c>
      <c r="D830" s="139">
        <v>44776</v>
      </c>
      <c r="E830" s="137" t="s">
        <v>71</v>
      </c>
      <c r="F830" s="137" t="s">
        <v>94</v>
      </c>
      <c r="G830" s="140">
        <f>32*4</f>
        <v>128</v>
      </c>
      <c r="H830" s="141"/>
      <c r="I830" s="142"/>
      <c r="J830" s="142"/>
    </row>
    <row r="831" spans="2:10" x14ac:dyDescent="0.2">
      <c r="B831" s="143">
        <f t="shared" ref="B831:B894" si="13">WEEKNUM(D831)</f>
        <v>32</v>
      </c>
      <c r="C831" s="138" t="str">
        <f>TEXT(Таблица8[[#This Row],[Дата]],"М")</f>
        <v>8</v>
      </c>
      <c r="D831" s="144">
        <v>44776</v>
      </c>
      <c r="E831" s="143" t="s">
        <v>20</v>
      </c>
      <c r="F831" s="143" t="s">
        <v>95</v>
      </c>
      <c r="G831" s="147">
        <v>140</v>
      </c>
      <c r="H831" s="146"/>
      <c r="I831" s="142"/>
      <c r="J831" s="142"/>
    </row>
    <row r="832" spans="2:10" x14ac:dyDescent="0.2">
      <c r="B832" s="143">
        <f t="shared" si="13"/>
        <v>32</v>
      </c>
      <c r="C832" s="138" t="str">
        <f>TEXT(Таблица8[[#This Row],[Дата]],"М")</f>
        <v>8</v>
      </c>
      <c r="D832" s="144">
        <v>44776</v>
      </c>
      <c r="E832" s="143" t="s">
        <v>20</v>
      </c>
      <c r="F832" s="143" t="s">
        <v>97</v>
      </c>
      <c r="G832" s="147">
        <v>190</v>
      </c>
      <c r="H832" s="146"/>
      <c r="I832" s="142"/>
      <c r="J832" s="142"/>
    </row>
    <row r="833" spans="2:10" x14ac:dyDescent="0.2">
      <c r="B833" s="143">
        <f t="shared" si="13"/>
        <v>32</v>
      </c>
      <c r="C833" s="138" t="str">
        <f>TEXT(Таблица8[[#This Row],[Дата]],"М")</f>
        <v>8</v>
      </c>
      <c r="D833" s="144">
        <v>44776</v>
      </c>
      <c r="E833" s="143" t="s">
        <v>30</v>
      </c>
      <c r="F833" s="143" t="s">
        <v>100</v>
      </c>
      <c r="G833" s="147">
        <v>500</v>
      </c>
      <c r="H833" s="146"/>
      <c r="I833" s="142"/>
      <c r="J833" s="142"/>
    </row>
    <row r="834" spans="2:10" x14ac:dyDescent="0.2">
      <c r="B834" s="143">
        <f t="shared" si="13"/>
        <v>32</v>
      </c>
      <c r="C834" s="138" t="str">
        <f>TEXT(Таблица8[[#This Row],[Дата]],"М")</f>
        <v>8</v>
      </c>
      <c r="D834" s="144">
        <v>44776</v>
      </c>
      <c r="E834" s="143" t="s">
        <v>19</v>
      </c>
      <c r="F834" s="143" t="s">
        <v>116</v>
      </c>
      <c r="G834" s="147">
        <v>238</v>
      </c>
      <c r="H834" s="146"/>
      <c r="I834" s="142"/>
      <c r="J834" s="142"/>
    </row>
    <row r="835" spans="2:10" x14ac:dyDescent="0.2">
      <c r="B835" s="137">
        <f t="shared" si="13"/>
        <v>32</v>
      </c>
      <c r="C835" s="138" t="str">
        <f>TEXT(Таблица8[[#This Row],[Дата]],"М")</f>
        <v>8</v>
      </c>
      <c r="D835" s="139">
        <v>44777</v>
      </c>
      <c r="E835" s="137" t="s">
        <v>19</v>
      </c>
      <c r="F835" s="137" t="s">
        <v>96</v>
      </c>
      <c r="G835" s="140">
        <f>133+65+85+150</f>
        <v>433</v>
      </c>
      <c r="H835" s="141"/>
      <c r="I835" s="142"/>
      <c r="J835" s="142"/>
    </row>
    <row r="836" spans="2:10" x14ac:dyDescent="0.2">
      <c r="B836" s="143">
        <f t="shared" si="13"/>
        <v>32</v>
      </c>
      <c r="C836" s="138" t="str">
        <f>TEXT(Таблица8[[#This Row],[Дата]],"М")</f>
        <v>8</v>
      </c>
      <c r="D836" s="144">
        <v>44777</v>
      </c>
      <c r="E836" s="143" t="s">
        <v>71</v>
      </c>
      <c r="F836" s="143" t="s">
        <v>94</v>
      </c>
      <c r="G836" s="147">
        <v>32</v>
      </c>
      <c r="H836" s="146"/>
      <c r="I836" s="142"/>
      <c r="J836" s="142"/>
    </row>
    <row r="837" spans="2:10" x14ac:dyDescent="0.2">
      <c r="B837" s="143">
        <f t="shared" si="13"/>
        <v>32</v>
      </c>
      <c r="C837" s="138" t="str">
        <f>TEXT(Таблица8[[#This Row],[Дата]],"М")</f>
        <v>8</v>
      </c>
      <c r="D837" s="144">
        <v>44777</v>
      </c>
      <c r="E837" s="143" t="s">
        <v>20</v>
      </c>
      <c r="F837" s="143" t="s">
        <v>95</v>
      </c>
      <c r="G837" s="147">
        <v>328</v>
      </c>
      <c r="H837" s="146"/>
      <c r="I837" s="142"/>
      <c r="J837" s="142"/>
    </row>
    <row r="838" spans="2:10" x14ac:dyDescent="0.2">
      <c r="B838" s="143">
        <f t="shared" si="13"/>
        <v>32</v>
      </c>
      <c r="C838" s="138" t="str">
        <f>TEXT(Таблица8[[#This Row],[Дата]],"М")</f>
        <v>8</v>
      </c>
      <c r="D838" s="144">
        <v>44777</v>
      </c>
      <c r="E838" s="143" t="s">
        <v>20</v>
      </c>
      <c r="F838" s="143" t="s">
        <v>95</v>
      </c>
      <c r="G838" s="147">
        <v>85</v>
      </c>
      <c r="H838" s="146"/>
      <c r="I838" s="142"/>
      <c r="J838" s="142"/>
    </row>
    <row r="839" spans="2:10" x14ac:dyDescent="0.2">
      <c r="B839" s="137">
        <f t="shared" si="13"/>
        <v>32</v>
      </c>
      <c r="C839" s="138" t="str">
        <f>TEXT(Таблица8[[#This Row],[Дата]],"М")</f>
        <v>8</v>
      </c>
      <c r="D839" s="139">
        <v>44778</v>
      </c>
      <c r="E839" s="137" t="s">
        <v>71</v>
      </c>
      <c r="F839" s="137" t="s">
        <v>94</v>
      </c>
      <c r="G839" s="140">
        <v>64</v>
      </c>
      <c r="H839" s="141"/>
      <c r="I839" s="142"/>
      <c r="J839" s="142"/>
    </row>
    <row r="840" spans="2:10" x14ac:dyDescent="0.2">
      <c r="B840" s="143">
        <f t="shared" si="13"/>
        <v>32</v>
      </c>
      <c r="C840" s="138" t="str">
        <f>TEXT(Таблица8[[#This Row],[Дата]],"М")</f>
        <v>8</v>
      </c>
      <c r="D840" s="144">
        <v>44778</v>
      </c>
      <c r="E840" s="143" t="s">
        <v>23</v>
      </c>
      <c r="F840" s="143" t="s">
        <v>111</v>
      </c>
      <c r="G840" s="147">
        <v>307</v>
      </c>
      <c r="H840" s="146"/>
      <c r="I840" s="142"/>
      <c r="J840" s="142"/>
    </row>
    <row r="841" spans="2:10" x14ac:dyDescent="0.2">
      <c r="B841" s="143">
        <f t="shared" si="13"/>
        <v>32</v>
      </c>
      <c r="C841" s="138" t="str">
        <f>TEXT(Таблица8[[#This Row],[Дата]],"М")</f>
        <v>8</v>
      </c>
      <c r="D841" s="144">
        <v>44778</v>
      </c>
      <c r="E841" s="143" t="s">
        <v>20</v>
      </c>
      <c r="F841" s="143" t="s">
        <v>99</v>
      </c>
      <c r="G841" s="147">
        <f>129+29</f>
        <v>158</v>
      </c>
      <c r="H841" s="146"/>
      <c r="I841" s="142"/>
      <c r="J841" s="142"/>
    </row>
    <row r="842" spans="2:10" x14ac:dyDescent="0.2">
      <c r="B842" s="143">
        <f t="shared" si="13"/>
        <v>32</v>
      </c>
      <c r="C842" s="138" t="str">
        <f>TEXT(Таблица8[[#This Row],[Дата]],"М")</f>
        <v>8</v>
      </c>
      <c r="D842" s="144">
        <v>44778</v>
      </c>
      <c r="E842" s="143" t="s">
        <v>29</v>
      </c>
      <c r="F842" s="143" t="s">
        <v>105</v>
      </c>
      <c r="G842" s="147">
        <v>240</v>
      </c>
      <c r="H842" s="146"/>
      <c r="I842" s="142"/>
      <c r="J842" s="142"/>
    </row>
    <row r="843" spans="2:10" x14ac:dyDescent="0.2">
      <c r="B843" s="137">
        <f t="shared" si="13"/>
        <v>32</v>
      </c>
      <c r="C843" s="138" t="str">
        <f>TEXT(Таблица8[[#This Row],[Дата]],"М")</f>
        <v>8</v>
      </c>
      <c r="D843" s="139">
        <v>44779</v>
      </c>
      <c r="E843" s="137" t="s">
        <v>71</v>
      </c>
      <c r="F843" s="137" t="s">
        <v>94</v>
      </c>
      <c r="G843" s="140">
        <v>64</v>
      </c>
      <c r="H843" s="141"/>
      <c r="I843" s="142"/>
      <c r="J843" s="142"/>
    </row>
    <row r="844" spans="2:10" x14ac:dyDescent="0.2">
      <c r="B844" s="143">
        <f t="shared" si="13"/>
        <v>32</v>
      </c>
      <c r="C844" s="138" t="str">
        <f>TEXT(Таблица8[[#This Row],[Дата]],"М")</f>
        <v>8</v>
      </c>
      <c r="D844" s="144">
        <v>44779</v>
      </c>
      <c r="E844" s="143" t="s">
        <v>20</v>
      </c>
      <c r="F844" s="143" t="s">
        <v>99</v>
      </c>
      <c r="G844" s="147">
        <v>90</v>
      </c>
      <c r="H844" s="146"/>
      <c r="I844" s="142"/>
      <c r="J844" s="142"/>
    </row>
    <row r="845" spans="2:10" x14ac:dyDescent="0.2">
      <c r="B845" s="143">
        <f t="shared" si="13"/>
        <v>32</v>
      </c>
      <c r="C845" s="138" t="str">
        <f>TEXT(Таблица8[[#This Row],[Дата]],"М")</f>
        <v>8</v>
      </c>
      <c r="D845" s="144">
        <v>44779</v>
      </c>
      <c r="E845" s="143" t="s">
        <v>19</v>
      </c>
      <c r="F845" s="143" t="s">
        <v>116</v>
      </c>
      <c r="G845" s="147">
        <v>136</v>
      </c>
      <c r="H845" s="146"/>
      <c r="I845" s="142"/>
      <c r="J845" s="142"/>
    </row>
    <row r="846" spans="2:10" x14ac:dyDescent="0.2">
      <c r="B846" s="137">
        <f t="shared" si="13"/>
        <v>33</v>
      </c>
      <c r="C846" s="138" t="str">
        <f>TEXT(Таблица8[[#This Row],[Дата]],"М")</f>
        <v>8</v>
      </c>
      <c r="D846" s="139">
        <v>44780</v>
      </c>
      <c r="E846" s="137" t="s">
        <v>71</v>
      </c>
      <c r="F846" s="137" t="s">
        <v>94</v>
      </c>
      <c r="G846" s="140">
        <v>32</v>
      </c>
      <c r="H846" s="141"/>
      <c r="I846" s="142"/>
      <c r="J846" s="142"/>
    </row>
    <row r="847" spans="2:10" x14ac:dyDescent="0.2">
      <c r="B847" s="143">
        <f t="shared" si="13"/>
        <v>33</v>
      </c>
      <c r="C847" s="138" t="str">
        <f>TEXT(Таблица8[[#This Row],[Дата]],"М")</f>
        <v>8</v>
      </c>
      <c r="D847" s="144">
        <v>44780</v>
      </c>
      <c r="E847" s="143" t="s">
        <v>20</v>
      </c>
      <c r="F847" s="143" t="s">
        <v>99</v>
      </c>
      <c r="G847" s="147">
        <v>267</v>
      </c>
      <c r="H847" s="146"/>
      <c r="I847" s="142"/>
      <c r="J847" s="142"/>
    </row>
    <row r="848" spans="2:10" x14ac:dyDescent="0.2">
      <c r="B848" s="143">
        <f t="shared" si="13"/>
        <v>33</v>
      </c>
      <c r="C848" s="138" t="str">
        <f>TEXT(Таблица8[[#This Row],[Дата]],"М")</f>
        <v>8</v>
      </c>
      <c r="D848" s="144">
        <v>44780</v>
      </c>
      <c r="E848" s="143" t="s">
        <v>20</v>
      </c>
      <c r="F848" s="143" t="s">
        <v>95</v>
      </c>
      <c r="G848" s="147">
        <v>340</v>
      </c>
      <c r="H848" s="146"/>
      <c r="I848" s="142"/>
      <c r="J848" s="142"/>
    </row>
    <row r="849" spans="2:10" x14ac:dyDescent="0.2">
      <c r="B849" s="137">
        <f t="shared" si="13"/>
        <v>33</v>
      </c>
      <c r="C849" s="138" t="str">
        <f>TEXT(Таблица8[[#This Row],[Дата]],"М")</f>
        <v>8</v>
      </c>
      <c r="D849" s="139">
        <v>44781</v>
      </c>
      <c r="E849" s="137" t="s">
        <v>71</v>
      </c>
      <c r="F849" s="137" t="s">
        <v>94</v>
      </c>
      <c r="G849" s="140">
        <f>32*3</f>
        <v>96</v>
      </c>
      <c r="H849" s="141"/>
      <c r="I849" s="142"/>
      <c r="J849" s="142"/>
    </row>
    <row r="850" spans="2:10" x14ac:dyDescent="0.2">
      <c r="B850" s="143">
        <f t="shared" si="13"/>
        <v>33</v>
      </c>
      <c r="C850" s="138" t="str">
        <f>TEXT(Таблица8[[#This Row],[Дата]],"М")</f>
        <v>8</v>
      </c>
      <c r="D850" s="144">
        <v>44781</v>
      </c>
      <c r="E850" s="143" t="s">
        <v>20</v>
      </c>
      <c r="F850" s="143" t="s">
        <v>99</v>
      </c>
      <c r="G850" s="147">
        <v>232</v>
      </c>
      <c r="H850" s="146"/>
      <c r="I850" s="142"/>
      <c r="J850" s="142"/>
    </row>
    <row r="851" spans="2:10" x14ac:dyDescent="0.2">
      <c r="B851" s="143">
        <f t="shared" si="13"/>
        <v>33</v>
      </c>
      <c r="C851" s="138" t="str">
        <f>TEXT(Таблица8[[#This Row],[Дата]],"М")</f>
        <v>8</v>
      </c>
      <c r="D851" s="144">
        <v>44781</v>
      </c>
      <c r="E851" s="143" t="s">
        <v>20</v>
      </c>
      <c r="F851" s="143" t="s">
        <v>95</v>
      </c>
      <c r="G851" s="147">
        <f>60+50</f>
        <v>110</v>
      </c>
      <c r="H851" s="146"/>
      <c r="I851" s="142"/>
      <c r="J851" s="142"/>
    </row>
    <row r="852" spans="2:10" x14ac:dyDescent="0.2">
      <c r="B852" s="137">
        <f t="shared" si="13"/>
        <v>33</v>
      </c>
      <c r="C852" s="138" t="str">
        <f>TEXT(Таблица8[[#This Row],[Дата]],"М")</f>
        <v>8</v>
      </c>
      <c r="D852" s="139">
        <v>44782</v>
      </c>
      <c r="E852" s="137" t="s">
        <v>19</v>
      </c>
      <c r="F852" s="137" t="s">
        <v>96</v>
      </c>
      <c r="G852" s="140">
        <f>210+58+209+110</f>
        <v>587</v>
      </c>
      <c r="H852" s="141"/>
      <c r="I852" s="142"/>
      <c r="J852" s="142"/>
    </row>
    <row r="853" spans="2:10" x14ac:dyDescent="0.2">
      <c r="B853" s="143">
        <f t="shared" si="13"/>
        <v>33</v>
      </c>
      <c r="C853" s="138" t="str">
        <f>TEXT(Таблица8[[#This Row],[Дата]],"М")</f>
        <v>8</v>
      </c>
      <c r="D853" s="144">
        <v>44782</v>
      </c>
      <c r="E853" s="143" t="s">
        <v>20</v>
      </c>
      <c r="F853" s="143" t="s">
        <v>95</v>
      </c>
      <c r="G853" s="147">
        <f>98+140+80</f>
        <v>318</v>
      </c>
      <c r="H853" s="146"/>
      <c r="I853" s="142"/>
      <c r="J853" s="142"/>
    </row>
    <row r="854" spans="2:10" x14ac:dyDescent="0.2">
      <c r="B854" s="143">
        <f t="shared" si="13"/>
        <v>33</v>
      </c>
      <c r="C854" s="138" t="str">
        <f>TEXT(Таблица8[[#This Row],[Дата]],"М")</f>
        <v>8</v>
      </c>
      <c r="D854" s="144">
        <v>44782</v>
      </c>
      <c r="E854" s="143" t="s">
        <v>23</v>
      </c>
      <c r="F854" s="143" t="s">
        <v>103</v>
      </c>
      <c r="G854" s="147">
        <v>126</v>
      </c>
      <c r="H854" s="146"/>
      <c r="I854" s="142"/>
      <c r="J854" s="142"/>
    </row>
    <row r="855" spans="2:10" x14ac:dyDescent="0.2">
      <c r="B855" s="137">
        <f t="shared" si="13"/>
        <v>33</v>
      </c>
      <c r="C855" s="138" t="str">
        <f>TEXT(Таблица8[[#This Row],[Дата]],"М")</f>
        <v>8</v>
      </c>
      <c r="D855" s="139">
        <v>44783</v>
      </c>
      <c r="E855" s="137" t="s">
        <v>20</v>
      </c>
      <c r="F855" s="137" t="s">
        <v>95</v>
      </c>
      <c r="G855" s="140">
        <v>73</v>
      </c>
      <c r="H855" s="141"/>
      <c r="I855" s="142"/>
      <c r="J855" s="142"/>
    </row>
    <row r="856" spans="2:10" x14ac:dyDescent="0.2">
      <c r="B856" s="143">
        <f t="shared" si="13"/>
        <v>33</v>
      </c>
      <c r="C856" s="138" t="str">
        <f>TEXT(Таблица8[[#This Row],[Дата]],"М")</f>
        <v>8</v>
      </c>
      <c r="D856" s="144">
        <v>44783</v>
      </c>
      <c r="E856" s="143" t="s">
        <v>19</v>
      </c>
      <c r="F856" s="143" t="s">
        <v>116</v>
      </c>
      <c r="G856" s="147">
        <v>509</v>
      </c>
      <c r="H856" s="146"/>
      <c r="I856" s="142"/>
      <c r="J856" s="142"/>
    </row>
    <row r="857" spans="2:10" x14ac:dyDescent="0.2">
      <c r="B857" s="143">
        <f t="shared" si="13"/>
        <v>33</v>
      </c>
      <c r="C857" s="138" t="str">
        <f>TEXT(Таблица8[[#This Row],[Дата]],"М")</f>
        <v>8</v>
      </c>
      <c r="D857" s="144">
        <v>44783</v>
      </c>
      <c r="E857" s="143" t="s">
        <v>23</v>
      </c>
      <c r="F857" s="143" t="s">
        <v>111</v>
      </c>
      <c r="G857" s="147">
        <v>300</v>
      </c>
      <c r="H857" s="146" t="s">
        <v>130</v>
      </c>
      <c r="I857" s="142"/>
      <c r="J857" s="142"/>
    </row>
    <row r="858" spans="2:10" x14ac:dyDescent="0.2">
      <c r="B858" s="137">
        <f t="shared" si="13"/>
        <v>33</v>
      </c>
      <c r="C858" s="138" t="str">
        <f>TEXT(Таблица8[[#This Row],[Дата]],"М")</f>
        <v>8</v>
      </c>
      <c r="D858" s="139">
        <v>44784</v>
      </c>
      <c r="E858" s="137" t="s">
        <v>71</v>
      </c>
      <c r="F858" s="137" t="s">
        <v>94</v>
      </c>
      <c r="G858" s="140">
        <v>64</v>
      </c>
      <c r="H858" s="141"/>
      <c r="I858" s="142"/>
      <c r="J858" s="142"/>
    </row>
    <row r="859" spans="2:10" x14ac:dyDescent="0.2">
      <c r="B859" s="143">
        <f t="shared" si="13"/>
        <v>33</v>
      </c>
      <c r="C859" s="138" t="str">
        <f>TEXT(Таблица8[[#This Row],[Дата]],"М")</f>
        <v>8</v>
      </c>
      <c r="D859" s="144">
        <v>44784</v>
      </c>
      <c r="E859" s="143" t="s">
        <v>20</v>
      </c>
      <c r="F859" s="143" t="s">
        <v>99</v>
      </c>
      <c r="G859" s="147">
        <f>230+65</f>
        <v>295</v>
      </c>
      <c r="H859" s="146"/>
      <c r="I859" s="142"/>
      <c r="J859" s="142"/>
    </row>
    <row r="860" spans="2:10" x14ac:dyDescent="0.2">
      <c r="B860" s="143">
        <f t="shared" si="13"/>
        <v>33</v>
      </c>
      <c r="C860" s="138" t="str">
        <f>TEXT(Таблица8[[#This Row],[Дата]],"М")</f>
        <v>8</v>
      </c>
      <c r="D860" s="144">
        <v>44784</v>
      </c>
      <c r="E860" s="143" t="s">
        <v>19</v>
      </c>
      <c r="F860" s="143" t="s">
        <v>116</v>
      </c>
      <c r="G860" s="147">
        <f>50+60+30</f>
        <v>140</v>
      </c>
      <c r="H860" s="146"/>
      <c r="I860" s="142"/>
      <c r="J860" s="142"/>
    </row>
    <row r="861" spans="2:10" x14ac:dyDescent="0.2">
      <c r="B861" s="137">
        <f t="shared" si="13"/>
        <v>33</v>
      </c>
      <c r="C861" s="138" t="str">
        <f>TEXT(Таблица8[[#This Row],[Дата]],"М")</f>
        <v>8</v>
      </c>
      <c r="D861" s="139">
        <v>44785</v>
      </c>
      <c r="E861" s="137" t="s">
        <v>71</v>
      </c>
      <c r="F861" s="137" t="s">
        <v>94</v>
      </c>
      <c r="G861" s="140">
        <v>64</v>
      </c>
      <c r="H861" s="141"/>
      <c r="I861" s="142"/>
      <c r="J861" s="142"/>
    </row>
    <row r="862" spans="2:10" x14ac:dyDescent="0.2">
      <c r="B862" s="143">
        <f t="shared" si="13"/>
        <v>33</v>
      </c>
      <c r="C862" s="138" t="str">
        <f>TEXT(Таблица8[[#This Row],[Дата]],"М")</f>
        <v>8</v>
      </c>
      <c r="D862" s="144">
        <v>44785</v>
      </c>
      <c r="E862" s="143" t="s">
        <v>19</v>
      </c>
      <c r="F862" s="143" t="s">
        <v>116</v>
      </c>
      <c r="G862" s="147">
        <f>350+37+117</f>
        <v>504</v>
      </c>
      <c r="H862" s="146"/>
      <c r="I862" s="142"/>
      <c r="J862" s="142"/>
    </row>
    <row r="863" spans="2:10" x14ac:dyDescent="0.2">
      <c r="B863" s="137">
        <f t="shared" si="13"/>
        <v>33</v>
      </c>
      <c r="C863" s="138" t="str">
        <f>TEXT(Таблица8[[#This Row],[Дата]],"М")</f>
        <v>8</v>
      </c>
      <c r="D863" s="139">
        <v>44786</v>
      </c>
      <c r="E863" s="137" t="s">
        <v>71</v>
      </c>
      <c r="F863" s="137" t="s">
        <v>94</v>
      </c>
      <c r="G863" s="140">
        <v>64</v>
      </c>
      <c r="H863" s="141"/>
      <c r="I863" s="142"/>
      <c r="J863" s="142"/>
    </row>
    <row r="864" spans="2:10" x14ac:dyDescent="0.2">
      <c r="B864" s="143">
        <f t="shared" si="13"/>
        <v>33</v>
      </c>
      <c r="C864" s="138" t="str">
        <f>TEXT(Таблица8[[#This Row],[Дата]],"М")</f>
        <v>8</v>
      </c>
      <c r="D864" s="144">
        <v>44786</v>
      </c>
      <c r="E864" s="143" t="s">
        <v>19</v>
      </c>
      <c r="F864" s="143" t="s">
        <v>116</v>
      </c>
      <c r="G864" s="147">
        <f>302+40</f>
        <v>342</v>
      </c>
      <c r="H864" s="146"/>
      <c r="I864" s="142"/>
      <c r="J864" s="142"/>
    </row>
    <row r="865" spans="2:12" x14ac:dyDescent="0.2">
      <c r="B865" s="137">
        <f t="shared" si="13"/>
        <v>34</v>
      </c>
      <c r="C865" s="138" t="str">
        <f>TEXT(Таблица8[[#This Row],[Дата]],"М")</f>
        <v>8</v>
      </c>
      <c r="D865" s="139">
        <v>44787</v>
      </c>
      <c r="E865" s="137" t="s">
        <v>19</v>
      </c>
      <c r="F865" s="137" t="s">
        <v>96</v>
      </c>
      <c r="G865" s="140">
        <f>108+111</f>
        <v>219</v>
      </c>
      <c r="H865" s="141"/>
      <c r="I865" s="142"/>
      <c r="J865" s="142"/>
    </row>
    <row r="866" spans="2:12" x14ac:dyDescent="0.2">
      <c r="B866" s="143">
        <f t="shared" si="13"/>
        <v>34</v>
      </c>
      <c r="C866" s="138" t="str">
        <f>TEXT(Таблица8[[#This Row],[Дата]],"М")</f>
        <v>8</v>
      </c>
      <c r="D866" s="144">
        <v>44787</v>
      </c>
      <c r="E866" s="143" t="s">
        <v>30</v>
      </c>
      <c r="F866" s="143" t="s">
        <v>92</v>
      </c>
      <c r="G866" s="147">
        <v>184</v>
      </c>
      <c r="H866" s="146"/>
      <c r="I866" s="142"/>
      <c r="J866" s="142"/>
    </row>
    <row r="867" spans="2:12" x14ac:dyDescent="0.2">
      <c r="B867" s="137">
        <f t="shared" si="13"/>
        <v>34</v>
      </c>
      <c r="C867" s="138" t="str">
        <f>TEXT(Таблица8[[#This Row],[Дата]],"М")</f>
        <v>8</v>
      </c>
      <c r="D867" s="139">
        <v>44788</v>
      </c>
      <c r="E867" s="137" t="s">
        <v>71</v>
      </c>
      <c r="F867" s="137" t="s">
        <v>94</v>
      </c>
      <c r="G867" s="140">
        <v>32</v>
      </c>
      <c r="H867" s="141"/>
      <c r="I867" s="142"/>
      <c r="J867" s="142"/>
      <c r="L867" s="121" t="b">
        <f>OR(WEEKDAY(L1429,2)=6,WEEKDAY(L1429,2)=7)</f>
        <v>1</v>
      </c>
    </row>
    <row r="868" spans="2:12" x14ac:dyDescent="0.2">
      <c r="B868" s="143">
        <f t="shared" si="13"/>
        <v>34</v>
      </c>
      <c r="C868" s="138" t="str">
        <f>TEXT(Таблица8[[#This Row],[Дата]],"М")</f>
        <v>8</v>
      </c>
      <c r="D868" s="144">
        <v>44788</v>
      </c>
      <c r="E868" s="143" t="s">
        <v>19</v>
      </c>
      <c r="F868" s="143" t="s">
        <v>134</v>
      </c>
      <c r="G868" s="147">
        <f>200+164+104+505</f>
        <v>973</v>
      </c>
      <c r="H868" s="146"/>
    </row>
    <row r="869" spans="2:12" x14ac:dyDescent="0.2">
      <c r="B869" s="143">
        <f t="shared" si="13"/>
        <v>34</v>
      </c>
      <c r="C869" s="138" t="str">
        <f>TEXT(Таблица8[[#This Row],[Дата]],"М")</f>
        <v>8</v>
      </c>
      <c r="D869" s="144">
        <v>44788</v>
      </c>
      <c r="E869" s="143" t="s">
        <v>22</v>
      </c>
      <c r="F869" s="143" t="s">
        <v>38</v>
      </c>
      <c r="G869" s="147">
        <f>520/2</f>
        <v>260</v>
      </c>
      <c r="H869" s="146"/>
    </row>
    <row r="870" spans="2:12" x14ac:dyDescent="0.2">
      <c r="B870" s="137">
        <f t="shared" si="13"/>
        <v>34</v>
      </c>
      <c r="C870" s="138" t="str">
        <f>TEXT(Таблица8[[#This Row],[Дата]],"М")</f>
        <v>8</v>
      </c>
      <c r="D870" s="139">
        <v>44789</v>
      </c>
      <c r="E870" s="137" t="s">
        <v>71</v>
      </c>
      <c r="F870" s="137" t="s">
        <v>94</v>
      </c>
      <c r="G870" s="140">
        <v>64</v>
      </c>
      <c r="H870" s="141"/>
    </row>
    <row r="871" spans="2:12" x14ac:dyDescent="0.2">
      <c r="B871" s="143">
        <f t="shared" si="13"/>
        <v>34</v>
      </c>
      <c r="C871" s="138" t="str">
        <f>TEXT(Таблица8[[#This Row],[Дата]],"М")</f>
        <v>8</v>
      </c>
      <c r="D871" s="144">
        <v>44789</v>
      </c>
      <c r="E871" s="143" t="s">
        <v>20</v>
      </c>
      <c r="F871" s="143" t="s">
        <v>118</v>
      </c>
      <c r="G871" s="147">
        <v>130</v>
      </c>
      <c r="H871" s="146"/>
    </row>
    <row r="872" spans="2:12" x14ac:dyDescent="0.2">
      <c r="B872" s="143">
        <f t="shared" si="13"/>
        <v>34</v>
      </c>
      <c r="C872" s="138" t="str">
        <f>TEXT(Таблица8[[#This Row],[Дата]],"М")</f>
        <v>8</v>
      </c>
      <c r="D872" s="144">
        <v>44789</v>
      </c>
      <c r="E872" s="143" t="s">
        <v>20</v>
      </c>
      <c r="F872" s="143" t="s">
        <v>102</v>
      </c>
      <c r="G872" s="147">
        <v>310</v>
      </c>
      <c r="H872" s="146"/>
    </row>
    <row r="873" spans="2:12" x14ac:dyDescent="0.2">
      <c r="B873" s="137">
        <f t="shared" si="13"/>
        <v>34</v>
      </c>
      <c r="C873" s="138" t="str">
        <f>TEXT(Таблица8[[#This Row],[Дата]],"М")</f>
        <v>8</v>
      </c>
      <c r="D873" s="139">
        <v>44790</v>
      </c>
      <c r="E873" s="137" t="s">
        <v>71</v>
      </c>
      <c r="F873" s="137" t="s">
        <v>94</v>
      </c>
      <c r="G873" s="140">
        <v>64</v>
      </c>
      <c r="H873" s="141"/>
    </row>
    <row r="874" spans="2:12" x14ac:dyDescent="0.2">
      <c r="B874" s="143">
        <f t="shared" si="13"/>
        <v>34</v>
      </c>
      <c r="C874" s="138" t="str">
        <f>TEXT(Таблица8[[#This Row],[Дата]],"М")</f>
        <v>8</v>
      </c>
      <c r="D874" s="144">
        <v>44790</v>
      </c>
      <c r="E874" s="143" t="s">
        <v>20</v>
      </c>
      <c r="F874" s="143" t="s">
        <v>99</v>
      </c>
      <c r="G874" s="147">
        <v>110</v>
      </c>
      <c r="H874" s="146"/>
    </row>
    <row r="875" spans="2:12" x14ac:dyDescent="0.2">
      <c r="B875" s="143">
        <f t="shared" si="13"/>
        <v>34</v>
      </c>
      <c r="C875" s="138" t="str">
        <f>TEXT(Таблица8[[#This Row],[Дата]],"М")</f>
        <v>8</v>
      </c>
      <c r="D875" s="144">
        <v>44790</v>
      </c>
      <c r="E875" s="143" t="s">
        <v>19</v>
      </c>
      <c r="F875" s="143" t="s">
        <v>96</v>
      </c>
      <c r="G875" s="147">
        <v>201</v>
      </c>
      <c r="H875" s="146"/>
    </row>
    <row r="876" spans="2:12" x14ac:dyDescent="0.2">
      <c r="B876" s="137">
        <f t="shared" si="13"/>
        <v>34</v>
      </c>
      <c r="C876" s="138" t="str">
        <f>TEXT(Таблица8[[#This Row],[Дата]],"М")</f>
        <v>8</v>
      </c>
      <c r="D876" s="139">
        <v>44791</v>
      </c>
      <c r="E876" s="137" t="s">
        <v>71</v>
      </c>
      <c r="F876" s="137" t="s">
        <v>94</v>
      </c>
      <c r="G876" s="140">
        <v>32</v>
      </c>
      <c r="H876" s="141"/>
    </row>
    <row r="877" spans="2:12" x14ac:dyDescent="0.2">
      <c r="B877" s="143">
        <f t="shared" si="13"/>
        <v>34</v>
      </c>
      <c r="C877" s="138" t="str">
        <f>TEXT(Таблица8[[#This Row],[Дата]],"М")</f>
        <v>8</v>
      </c>
      <c r="D877" s="144">
        <v>44791</v>
      </c>
      <c r="E877" s="143" t="s">
        <v>20</v>
      </c>
      <c r="F877" s="143" t="s">
        <v>99</v>
      </c>
      <c r="G877" s="147">
        <v>167</v>
      </c>
      <c r="H877" s="146"/>
    </row>
    <row r="878" spans="2:12" x14ac:dyDescent="0.2">
      <c r="B878" s="143">
        <f t="shared" si="13"/>
        <v>34</v>
      </c>
      <c r="C878" s="138" t="str">
        <f>TEXT(Таблица8[[#This Row],[Дата]],"М")</f>
        <v>8</v>
      </c>
      <c r="D878" s="144">
        <v>44791</v>
      </c>
      <c r="E878" s="143" t="s">
        <v>19</v>
      </c>
      <c r="F878" s="143" t="s">
        <v>96</v>
      </c>
      <c r="G878" s="147">
        <v>35</v>
      </c>
      <c r="H878" s="146"/>
    </row>
    <row r="879" spans="2:12" x14ac:dyDescent="0.2">
      <c r="B879" s="137">
        <f t="shared" si="13"/>
        <v>34</v>
      </c>
      <c r="C879" s="138" t="str">
        <f>TEXT(Таблица8[[#This Row],[Дата]],"М")</f>
        <v>8</v>
      </c>
      <c r="D879" s="139">
        <v>44792</v>
      </c>
      <c r="E879" s="137" t="s">
        <v>71</v>
      </c>
      <c r="F879" s="137" t="s">
        <v>94</v>
      </c>
      <c r="G879" s="140">
        <v>64</v>
      </c>
      <c r="H879" s="141"/>
    </row>
    <row r="880" spans="2:12" x14ac:dyDescent="0.2">
      <c r="B880" s="143">
        <f t="shared" si="13"/>
        <v>34</v>
      </c>
      <c r="C880" s="138" t="str">
        <f>TEXT(Таблица8[[#This Row],[Дата]],"М")</f>
        <v>8</v>
      </c>
      <c r="D880" s="144">
        <v>44792</v>
      </c>
      <c r="E880" s="143" t="s">
        <v>20</v>
      </c>
      <c r="F880" s="143" t="s">
        <v>99</v>
      </c>
      <c r="G880" s="147">
        <v>170</v>
      </c>
      <c r="H880" s="146"/>
    </row>
    <row r="881" spans="2:8" x14ac:dyDescent="0.2">
      <c r="B881" s="143">
        <f t="shared" si="13"/>
        <v>34</v>
      </c>
      <c r="C881" s="138" t="str">
        <f>TEXT(Таблица8[[#This Row],[Дата]],"М")</f>
        <v>8</v>
      </c>
      <c r="D881" s="144">
        <v>44792</v>
      </c>
      <c r="E881" s="143" t="s">
        <v>19</v>
      </c>
      <c r="F881" s="143" t="s">
        <v>96</v>
      </c>
      <c r="G881" s="147">
        <v>136</v>
      </c>
      <c r="H881" s="146"/>
    </row>
    <row r="882" spans="2:8" x14ac:dyDescent="0.2">
      <c r="B882" s="137">
        <f t="shared" si="13"/>
        <v>34</v>
      </c>
      <c r="C882" s="138" t="str">
        <f>TEXT(Таблица8[[#This Row],[Дата]],"М")</f>
        <v>8</v>
      </c>
      <c r="D882" s="139">
        <v>44793</v>
      </c>
      <c r="E882" s="137" t="s">
        <v>23</v>
      </c>
      <c r="F882" s="137" t="s">
        <v>103</v>
      </c>
      <c r="G882" s="140">
        <v>700</v>
      </c>
      <c r="H882" s="141" t="s">
        <v>130</v>
      </c>
    </row>
    <row r="883" spans="2:8" x14ac:dyDescent="0.2">
      <c r="B883" s="143">
        <f t="shared" si="13"/>
        <v>34</v>
      </c>
      <c r="C883" s="138" t="str">
        <f>TEXT(Таблица8[[#This Row],[Дата]],"М")</f>
        <v>8</v>
      </c>
      <c r="D883" s="144">
        <v>44793</v>
      </c>
      <c r="E883" s="143" t="s">
        <v>19</v>
      </c>
      <c r="F883" s="143" t="s">
        <v>96</v>
      </c>
      <c r="G883" s="147">
        <v>107</v>
      </c>
      <c r="H883" s="146"/>
    </row>
    <row r="884" spans="2:8" x14ac:dyDescent="0.2">
      <c r="B884" s="143">
        <f t="shared" si="13"/>
        <v>34</v>
      </c>
      <c r="C884" s="138" t="str">
        <f>TEXT(Таблица8[[#This Row],[Дата]],"М")</f>
        <v>8</v>
      </c>
      <c r="D884" s="144">
        <v>44793</v>
      </c>
      <c r="E884" s="143" t="s">
        <v>20</v>
      </c>
      <c r="F884" s="143" t="s">
        <v>118</v>
      </c>
      <c r="G884" s="147">
        <f>20+27</f>
        <v>47</v>
      </c>
      <c r="H884" s="146"/>
    </row>
    <row r="885" spans="2:8" x14ac:dyDescent="0.2">
      <c r="B885" s="143">
        <f t="shared" si="13"/>
        <v>34</v>
      </c>
      <c r="C885" s="138" t="str">
        <f>TEXT(Таблица8[[#This Row],[Дата]],"М")</f>
        <v>8</v>
      </c>
      <c r="D885" s="144">
        <v>44793</v>
      </c>
      <c r="E885" s="143" t="s">
        <v>71</v>
      </c>
      <c r="F885" s="143" t="s">
        <v>94</v>
      </c>
      <c r="G885" s="147">
        <v>32</v>
      </c>
      <c r="H885" s="146"/>
    </row>
    <row r="886" spans="2:8" x14ac:dyDescent="0.2">
      <c r="B886" s="143">
        <f t="shared" si="13"/>
        <v>34</v>
      </c>
      <c r="C886" s="138" t="str">
        <f>TEXT(Таблица8[[#This Row],[Дата]],"М")</f>
        <v>8</v>
      </c>
      <c r="D886" s="144">
        <v>44793</v>
      </c>
      <c r="E886" s="143" t="s">
        <v>23</v>
      </c>
      <c r="F886" s="143" t="s">
        <v>111</v>
      </c>
      <c r="G886" s="147">
        <v>72</v>
      </c>
      <c r="H886" s="146"/>
    </row>
    <row r="887" spans="2:8" x14ac:dyDescent="0.2">
      <c r="B887" s="137">
        <f t="shared" si="13"/>
        <v>35</v>
      </c>
      <c r="C887" s="138" t="str">
        <f>TEXT(Таблица8[[#This Row],[Дата]],"М")</f>
        <v>8</v>
      </c>
      <c r="D887" s="139">
        <v>44794</v>
      </c>
      <c r="E887" s="137" t="s">
        <v>20</v>
      </c>
      <c r="F887" s="137" t="s">
        <v>125</v>
      </c>
      <c r="G887" s="140">
        <v>268</v>
      </c>
      <c r="H887" s="141"/>
    </row>
    <row r="888" spans="2:8" x14ac:dyDescent="0.2">
      <c r="B888" s="143">
        <f t="shared" si="13"/>
        <v>35</v>
      </c>
      <c r="C888" s="138" t="str">
        <f>TEXT(Таблица8[[#This Row],[Дата]],"М")</f>
        <v>8</v>
      </c>
      <c r="D888" s="144">
        <v>44794</v>
      </c>
      <c r="E888" s="143" t="s">
        <v>19</v>
      </c>
      <c r="F888" s="143" t="s">
        <v>96</v>
      </c>
      <c r="G888" s="147">
        <f>124+102+25+232</f>
        <v>483</v>
      </c>
      <c r="H888" s="146"/>
    </row>
    <row r="889" spans="2:8" x14ac:dyDescent="0.2">
      <c r="B889" s="137">
        <f t="shared" si="13"/>
        <v>35</v>
      </c>
      <c r="C889" s="138" t="str">
        <f>TEXT(Таблица8[[#This Row],[Дата]],"М")</f>
        <v>8</v>
      </c>
      <c r="D889" s="139">
        <v>44795</v>
      </c>
      <c r="E889" s="137" t="s">
        <v>20</v>
      </c>
      <c r="F889" s="137" t="s">
        <v>97</v>
      </c>
      <c r="G889" s="140">
        <v>493</v>
      </c>
      <c r="H889" s="141"/>
    </row>
    <row r="890" spans="2:8" x14ac:dyDescent="0.2">
      <c r="B890" s="143">
        <f t="shared" si="13"/>
        <v>35</v>
      </c>
      <c r="C890" s="138" t="str">
        <f>TEXT(Таблица8[[#This Row],[Дата]],"М")</f>
        <v>8</v>
      </c>
      <c r="D890" s="144">
        <v>44795</v>
      </c>
      <c r="E890" s="143" t="s">
        <v>19</v>
      </c>
      <c r="F890" s="143" t="s">
        <v>96</v>
      </c>
      <c r="G890" s="147">
        <v>244</v>
      </c>
      <c r="H890" s="146"/>
    </row>
    <row r="891" spans="2:8" x14ac:dyDescent="0.2">
      <c r="B891" s="143">
        <f t="shared" si="13"/>
        <v>35</v>
      </c>
      <c r="C891" s="138" t="str">
        <f>TEXT(Таблица8[[#This Row],[Дата]],"М")</f>
        <v>8</v>
      </c>
      <c r="D891" s="144">
        <v>44795</v>
      </c>
      <c r="E891" s="143" t="s">
        <v>20</v>
      </c>
      <c r="F891" s="143" t="s">
        <v>95</v>
      </c>
      <c r="G891" s="147">
        <v>45</v>
      </c>
      <c r="H891" s="146"/>
    </row>
    <row r="892" spans="2:8" x14ac:dyDescent="0.2">
      <c r="B892" s="137">
        <f t="shared" si="13"/>
        <v>35</v>
      </c>
      <c r="C892" s="138" t="str">
        <f>TEXT(Таблица8[[#This Row],[Дата]],"М")</f>
        <v>8</v>
      </c>
      <c r="D892" s="139">
        <v>44796</v>
      </c>
      <c r="E892" s="137" t="s">
        <v>71</v>
      </c>
      <c r="F892" s="137" t="s">
        <v>94</v>
      </c>
      <c r="G892" s="140">
        <v>64</v>
      </c>
      <c r="H892" s="141"/>
    </row>
    <row r="893" spans="2:8" x14ac:dyDescent="0.2">
      <c r="B893" s="143">
        <f t="shared" si="13"/>
        <v>35</v>
      </c>
      <c r="C893" s="138" t="str">
        <f>TEXT(Таблица8[[#This Row],[Дата]],"М")</f>
        <v>8</v>
      </c>
      <c r="D893" s="144">
        <v>44796</v>
      </c>
      <c r="E893" s="143" t="s">
        <v>20</v>
      </c>
      <c r="F893" s="143" t="s">
        <v>99</v>
      </c>
      <c r="G893" s="147">
        <v>119</v>
      </c>
      <c r="H893" s="146"/>
    </row>
    <row r="894" spans="2:8" x14ac:dyDescent="0.2">
      <c r="B894" s="143">
        <f t="shared" si="13"/>
        <v>35</v>
      </c>
      <c r="C894" s="138" t="str">
        <f>TEXT(Таблица8[[#This Row],[Дата]],"М")</f>
        <v>8</v>
      </c>
      <c r="D894" s="144">
        <v>44796</v>
      </c>
      <c r="E894" s="143" t="s">
        <v>29</v>
      </c>
      <c r="F894" s="143" t="s">
        <v>107</v>
      </c>
      <c r="G894" s="147">
        <v>310</v>
      </c>
      <c r="H894" s="146" t="s">
        <v>130</v>
      </c>
    </row>
    <row r="895" spans="2:8" x14ac:dyDescent="0.2">
      <c r="B895" s="137">
        <f t="shared" ref="B895:B958" si="14">WEEKNUM(D895)</f>
        <v>35</v>
      </c>
      <c r="C895" s="138" t="str">
        <f>TEXT(Таблица8[[#This Row],[Дата]],"М")</f>
        <v>8</v>
      </c>
      <c r="D895" s="139">
        <v>44797</v>
      </c>
      <c r="E895" s="137" t="s">
        <v>71</v>
      </c>
      <c r="F895" s="137" t="s">
        <v>94</v>
      </c>
      <c r="G895" s="140">
        <v>64</v>
      </c>
      <c r="H895" s="141"/>
    </row>
    <row r="896" spans="2:8" x14ac:dyDescent="0.2">
      <c r="B896" s="143">
        <f t="shared" si="14"/>
        <v>35</v>
      </c>
      <c r="C896" s="138" t="str">
        <f>TEXT(Таблица8[[#This Row],[Дата]],"М")</f>
        <v>8</v>
      </c>
      <c r="D896" s="144">
        <v>44797</v>
      </c>
      <c r="E896" s="143" t="s">
        <v>20</v>
      </c>
      <c r="F896" s="143" t="s">
        <v>99</v>
      </c>
      <c r="G896" s="147">
        <v>171</v>
      </c>
      <c r="H896" s="146"/>
    </row>
    <row r="897" spans="2:8" x14ac:dyDescent="0.2">
      <c r="B897" s="143">
        <f t="shared" si="14"/>
        <v>35</v>
      </c>
      <c r="C897" s="138" t="str">
        <f>TEXT(Таблица8[[#This Row],[Дата]],"М")</f>
        <v>8</v>
      </c>
      <c r="D897" s="144">
        <v>44797</v>
      </c>
      <c r="E897" s="143" t="s">
        <v>19</v>
      </c>
      <c r="F897" s="143" t="s">
        <v>96</v>
      </c>
      <c r="G897" s="147">
        <v>198</v>
      </c>
      <c r="H897" s="146"/>
    </row>
    <row r="898" spans="2:8" x14ac:dyDescent="0.2">
      <c r="B898" s="137">
        <f t="shared" si="14"/>
        <v>35</v>
      </c>
      <c r="C898" s="138" t="str">
        <f>TEXT(Таблица8[[#This Row],[Дата]],"М")</f>
        <v>8</v>
      </c>
      <c r="D898" s="139">
        <v>44798</v>
      </c>
      <c r="E898" s="137" t="s">
        <v>71</v>
      </c>
      <c r="F898" s="137" t="s">
        <v>94</v>
      </c>
      <c r="G898" s="140">
        <v>64</v>
      </c>
      <c r="H898" s="141"/>
    </row>
    <row r="899" spans="2:8" x14ac:dyDescent="0.2">
      <c r="B899" s="143">
        <f t="shared" si="14"/>
        <v>35</v>
      </c>
      <c r="C899" s="138" t="str">
        <f>TEXT(Таблица8[[#This Row],[Дата]],"М")</f>
        <v>8</v>
      </c>
      <c r="D899" s="144">
        <v>44798</v>
      </c>
      <c r="E899" s="143" t="s">
        <v>20</v>
      </c>
      <c r="F899" s="143" t="s">
        <v>99</v>
      </c>
      <c r="G899" s="147">
        <v>158</v>
      </c>
      <c r="H899" s="146"/>
    </row>
    <row r="900" spans="2:8" x14ac:dyDescent="0.2">
      <c r="B900" s="143">
        <f t="shared" si="14"/>
        <v>35</v>
      </c>
      <c r="C900" s="138" t="str">
        <f>TEXT(Таблица8[[#This Row],[Дата]],"М")</f>
        <v>8</v>
      </c>
      <c r="D900" s="144">
        <v>44798</v>
      </c>
      <c r="E900" s="143" t="s">
        <v>19</v>
      </c>
      <c r="F900" s="143" t="s">
        <v>96</v>
      </c>
      <c r="G900" s="147">
        <v>155</v>
      </c>
      <c r="H900" s="146"/>
    </row>
    <row r="901" spans="2:8" x14ac:dyDescent="0.2">
      <c r="B901" s="137">
        <f t="shared" si="14"/>
        <v>35</v>
      </c>
      <c r="C901" s="138" t="str">
        <f>TEXT(Таблица8[[#This Row],[Дата]],"М")</f>
        <v>8</v>
      </c>
      <c r="D901" s="139">
        <v>44799</v>
      </c>
      <c r="E901" s="137" t="s">
        <v>72</v>
      </c>
      <c r="F901" s="137" t="s">
        <v>124</v>
      </c>
      <c r="G901" s="140">
        <v>330</v>
      </c>
      <c r="H901" s="141"/>
    </row>
    <row r="902" spans="2:8" x14ac:dyDescent="0.2">
      <c r="B902" s="143">
        <f t="shared" si="14"/>
        <v>35</v>
      </c>
      <c r="C902" s="138" t="str">
        <f>TEXT(Таблица8[[#This Row],[Дата]],"М")</f>
        <v>8</v>
      </c>
      <c r="D902" s="144">
        <v>44799</v>
      </c>
      <c r="E902" s="143" t="s">
        <v>72</v>
      </c>
      <c r="F902" s="143" t="s">
        <v>44</v>
      </c>
      <c r="G902" s="147">
        <v>330</v>
      </c>
      <c r="H902" s="146"/>
    </row>
    <row r="903" spans="2:8" x14ac:dyDescent="0.2">
      <c r="B903" s="143">
        <f t="shared" si="14"/>
        <v>35</v>
      </c>
      <c r="C903" s="138" t="str">
        <f>TEXT(Таблица8[[#This Row],[Дата]],"М")</f>
        <v>8</v>
      </c>
      <c r="D903" s="144">
        <v>44799</v>
      </c>
      <c r="E903" s="143" t="s">
        <v>72</v>
      </c>
      <c r="F903" s="143" t="s">
        <v>40</v>
      </c>
      <c r="G903" s="147">
        <v>580</v>
      </c>
      <c r="H903" s="146"/>
    </row>
    <row r="904" spans="2:8" x14ac:dyDescent="0.2">
      <c r="B904" s="143">
        <f t="shared" si="14"/>
        <v>35</v>
      </c>
      <c r="C904" s="138" t="str">
        <f>TEXT(Таблица8[[#This Row],[Дата]],"М")</f>
        <v>8</v>
      </c>
      <c r="D904" s="144">
        <v>44799</v>
      </c>
      <c r="E904" s="143" t="s">
        <v>22</v>
      </c>
      <c r="F904" s="143" t="s">
        <v>38</v>
      </c>
      <c r="G904" s="147">
        <f>1586-800</f>
        <v>786</v>
      </c>
      <c r="H904" s="146"/>
    </row>
    <row r="905" spans="2:8" x14ac:dyDescent="0.2">
      <c r="B905" s="143">
        <f t="shared" si="14"/>
        <v>35</v>
      </c>
      <c r="C905" s="138" t="str">
        <f>TEXT(Таблица8[[#This Row],[Дата]],"М")</f>
        <v>8</v>
      </c>
      <c r="D905" s="144">
        <v>44799</v>
      </c>
      <c r="E905" s="143" t="s">
        <v>19</v>
      </c>
      <c r="F905" s="143" t="s">
        <v>96</v>
      </c>
      <c r="G905" s="147">
        <f>67+658</f>
        <v>725</v>
      </c>
      <c r="H905" s="146"/>
    </row>
    <row r="906" spans="2:8" x14ac:dyDescent="0.2">
      <c r="B906" s="143">
        <f t="shared" si="14"/>
        <v>35</v>
      </c>
      <c r="C906" s="138" t="str">
        <f>TEXT(Таблица8[[#This Row],[Дата]],"М")</f>
        <v>8</v>
      </c>
      <c r="D906" s="144">
        <v>44799</v>
      </c>
      <c r="E906" s="143" t="s">
        <v>71</v>
      </c>
      <c r="F906" s="143" t="s">
        <v>115</v>
      </c>
      <c r="G906" s="147">
        <v>314</v>
      </c>
      <c r="H906" s="146"/>
    </row>
    <row r="907" spans="2:8" x14ac:dyDescent="0.2">
      <c r="B907" s="143">
        <f t="shared" si="14"/>
        <v>35</v>
      </c>
      <c r="C907" s="138" t="str">
        <f>TEXT(Таблица8[[#This Row],[Дата]],"М")</f>
        <v>8</v>
      </c>
      <c r="D907" s="144">
        <v>44799</v>
      </c>
      <c r="E907" s="143" t="s">
        <v>30</v>
      </c>
      <c r="F907" s="143" t="s">
        <v>92</v>
      </c>
      <c r="G907" s="147">
        <v>96</v>
      </c>
      <c r="H907" s="146"/>
    </row>
    <row r="908" spans="2:8" x14ac:dyDescent="0.2">
      <c r="B908" s="143">
        <f t="shared" si="14"/>
        <v>35</v>
      </c>
      <c r="C908" s="138" t="str">
        <f>TEXT(Таблица8[[#This Row],[Дата]],"М")</f>
        <v>8</v>
      </c>
      <c r="D908" s="144">
        <v>44799</v>
      </c>
      <c r="E908" s="143" t="s">
        <v>71</v>
      </c>
      <c r="F908" s="143" t="s">
        <v>115</v>
      </c>
      <c r="G908" s="147">
        <v>314</v>
      </c>
      <c r="H908" s="146"/>
    </row>
    <row r="909" spans="2:8" x14ac:dyDescent="0.2">
      <c r="B909" s="137">
        <f t="shared" si="14"/>
        <v>35</v>
      </c>
      <c r="C909" s="138" t="str">
        <f>TEXT(Таблица8[[#This Row],[Дата]],"М")</f>
        <v>8</v>
      </c>
      <c r="D909" s="139">
        <v>44800</v>
      </c>
      <c r="E909" s="137" t="s">
        <v>71</v>
      </c>
      <c r="F909" s="137" t="s">
        <v>94</v>
      </c>
      <c r="G909" s="140">
        <v>32</v>
      </c>
      <c r="H909" s="141" t="s">
        <v>123</v>
      </c>
    </row>
    <row r="910" spans="2:8" x14ac:dyDescent="0.2">
      <c r="B910" s="143">
        <f t="shared" si="14"/>
        <v>35</v>
      </c>
      <c r="C910" s="138" t="str">
        <f>TEXT(Таблица8[[#This Row],[Дата]],"М")</f>
        <v>8</v>
      </c>
      <c r="D910" s="144">
        <v>44800</v>
      </c>
      <c r="E910" s="143" t="s">
        <v>71</v>
      </c>
      <c r="F910" s="143" t="s">
        <v>91</v>
      </c>
      <c r="G910" s="147">
        <v>150</v>
      </c>
      <c r="H910" s="146" t="s">
        <v>123</v>
      </c>
    </row>
    <row r="911" spans="2:8" x14ac:dyDescent="0.2">
      <c r="B911" s="143">
        <f t="shared" si="14"/>
        <v>35</v>
      </c>
      <c r="C911" s="138" t="str">
        <f>TEXT(Таблица8[[#This Row],[Дата]],"М")</f>
        <v>8</v>
      </c>
      <c r="D911" s="144">
        <v>44800</v>
      </c>
      <c r="E911" s="143" t="s">
        <v>20</v>
      </c>
      <c r="F911" s="143" t="s">
        <v>125</v>
      </c>
      <c r="G911" s="147">
        <v>150</v>
      </c>
      <c r="H911" s="146" t="s">
        <v>123</v>
      </c>
    </row>
    <row r="912" spans="2:8" x14ac:dyDescent="0.2">
      <c r="B912" s="143">
        <f t="shared" si="14"/>
        <v>35</v>
      </c>
      <c r="C912" s="138" t="str">
        <f>TEXT(Таблица8[[#This Row],[Дата]],"М")</f>
        <v>8</v>
      </c>
      <c r="D912" s="144">
        <v>44800</v>
      </c>
      <c r="E912" s="143" t="s">
        <v>20</v>
      </c>
      <c r="F912" s="143" t="s">
        <v>95</v>
      </c>
      <c r="G912" s="147">
        <v>65</v>
      </c>
      <c r="H912" s="146" t="s">
        <v>123</v>
      </c>
    </row>
    <row r="913" spans="2:8" x14ac:dyDescent="0.2">
      <c r="B913" s="143">
        <f t="shared" si="14"/>
        <v>35</v>
      </c>
      <c r="C913" s="138" t="str">
        <f>TEXT(Таблица8[[#This Row],[Дата]],"М")</f>
        <v>8</v>
      </c>
      <c r="D913" s="144">
        <v>44800</v>
      </c>
      <c r="E913" s="143" t="s">
        <v>30</v>
      </c>
      <c r="F913" s="143" t="s">
        <v>92</v>
      </c>
      <c r="G913" s="147">
        <f>166+75</f>
        <v>241</v>
      </c>
      <c r="H913" s="146" t="s">
        <v>123</v>
      </c>
    </row>
    <row r="914" spans="2:8" x14ac:dyDescent="0.2">
      <c r="B914" s="143">
        <f t="shared" si="14"/>
        <v>35</v>
      </c>
      <c r="C914" s="138" t="str">
        <f>TEXT(Таблица8[[#This Row],[Дата]],"М")</f>
        <v>8</v>
      </c>
      <c r="D914" s="144">
        <v>44800</v>
      </c>
      <c r="E914" s="143" t="s">
        <v>20</v>
      </c>
      <c r="F914" s="143" t="s">
        <v>95</v>
      </c>
      <c r="G914" s="147">
        <v>25</v>
      </c>
      <c r="H914" s="146" t="s">
        <v>123</v>
      </c>
    </row>
    <row r="915" spans="2:8" x14ac:dyDescent="0.2">
      <c r="B915" s="143">
        <f t="shared" si="14"/>
        <v>35</v>
      </c>
      <c r="C915" s="138" t="str">
        <f>TEXT(Таблица8[[#This Row],[Дата]],"М")</f>
        <v>8</v>
      </c>
      <c r="D915" s="144">
        <v>44800</v>
      </c>
      <c r="E915" s="143" t="s">
        <v>30</v>
      </c>
      <c r="F915" s="143" t="s">
        <v>135</v>
      </c>
      <c r="G915" s="147">
        <v>300</v>
      </c>
      <c r="H915" s="146" t="s">
        <v>123</v>
      </c>
    </row>
    <row r="916" spans="2:8" x14ac:dyDescent="0.2">
      <c r="B916" s="137">
        <f t="shared" si="14"/>
        <v>36</v>
      </c>
      <c r="C916" s="138" t="str">
        <f>TEXT(Таблица8[[#This Row],[Дата]],"М")</f>
        <v>8</v>
      </c>
      <c r="D916" s="139">
        <v>44801</v>
      </c>
      <c r="E916" s="137" t="s">
        <v>19</v>
      </c>
      <c r="F916" s="137" t="s">
        <v>96</v>
      </c>
      <c r="G916" s="140">
        <v>246</v>
      </c>
      <c r="H916" s="141"/>
    </row>
    <row r="917" spans="2:8" x14ac:dyDescent="0.2">
      <c r="B917" s="137">
        <f t="shared" si="14"/>
        <v>36</v>
      </c>
      <c r="C917" s="138" t="str">
        <f>TEXT(Таблица8[[#This Row],[Дата]],"М")</f>
        <v>8</v>
      </c>
      <c r="D917" s="139">
        <v>44802</v>
      </c>
      <c r="E917" s="137" t="s">
        <v>71</v>
      </c>
      <c r="F917" s="137" t="s">
        <v>94</v>
      </c>
      <c r="G917" s="140">
        <v>64</v>
      </c>
      <c r="H917" s="141"/>
    </row>
    <row r="918" spans="2:8" x14ac:dyDescent="0.2">
      <c r="B918" s="143">
        <f t="shared" si="14"/>
        <v>36</v>
      </c>
      <c r="C918" s="138" t="str">
        <f>TEXT(Таблица8[[#This Row],[Дата]],"М")</f>
        <v>8</v>
      </c>
      <c r="D918" s="144">
        <v>44802</v>
      </c>
      <c r="E918" s="143" t="s">
        <v>20</v>
      </c>
      <c r="F918" s="143" t="s">
        <v>99</v>
      </c>
      <c r="G918" s="147">
        <v>316</v>
      </c>
      <c r="H918" s="146"/>
    </row>
    <row r="919" spans="2:8" x14ac:dyDescent="0.2">
      <c r="B919" s="143">
        <f t="shared" si="14"/>
        <v>36</v>
      </c>
      <c r="C919" s="138" t="str">
        <f>TEXT(Таблица8[[#This Row],[Дата]],"М")</f>
        <v>8</v>
      </c>
      <c r="D919" s="144">
        <v>44802</v>
      </c>
      <c r="E919" s="143" t="s">
        <v>19</v>
      </c>
      <c r="F919" s="143" t="s">
        <v>96</v>
      </c>
      <c r="G919" s="147">
        <v>114</v>
      </c>
      <c r="H919" s="146"/>
    </row>
    <row r="920" spans="2:8" x14ac:dyDescent="0.2">
      <c r="B920" s="137">
        <f t="shared" si="14"/>
        <v>36</v>
      </c>
      <c r="C920" s="138" t="str">
        <f>TEXT(Таблица8[[#This Row],[Дата]],"М")</f>
        <v>8</v>
      </c>
      <c r="D920" s="139">
        <v>44803</v>
      </c>
      <c r="E920" s="137" t="s">
        <v>19</v>
      </c>
      <c r="F920" s="137" t="s">
        <v>96</v>
      </c>
      <c r="G920" s="140">
        <f>26+90</f>
        <v>116</v>
      </c>
      <c r="H920" s="141"/>
    </row>
    <row r="921" spans="2:8" x14ac:dyDescent="0.2">
      <c r="B921" s="143">
        <f t="shared" si="14"/>
        <v>36</v>
      </c>
      <c r="C921" s="138" t="str">
        <f>TEXT(Таблица8[[#This Row],[Дата]],"М")</f>
        <v>8</v>
      </c>
      <c r="D921" s="144">
        <v>44803</v>
      </c>
      <c r="E921" s="143" t="s">
        <v>71</v>
      </c>
      <c r="F921" s="143" t="s">
        <v>94</v>
      </c>
      <c r="G921" s="147">
        <v>64</v>
      </c>
      <c r="H921" s="146"/>
    </row>
    <row r="922" spans="2:8" x14ac:dyDescent="0.2">
      <c r="B922" s="143">
        <f t="shared" si="14"/>
        <v>36</v>
      </c>
      <c r="C922" s="138" t="str">
        <f>TEXT(Таблица8[[#This Row],[Дата]],"М")</f>
        <v>8</v>
      </c>
      <c r="D922" s="144">
        <v>44803</v>
      </c>
      <c r="E922" s="143" t="s">
        <v>72</v>
      </c>
      <c r="F922" s="143"/>
      <c r="G922" s="147">
        <v>5500</v>
      </c>
      <c r="H922" s="146"/>
    </row>
    <row r="923" spans="2:8" x14ac:dyDescent="0.2">
      <c r="B923" s="143">
        <f t="shared" si="14"/>
        <v>36</v>
      </c>
      <c r="C923" s="138" t="str">
        <f>TEXT(Таблица8[[#This Row],[Дата]],"М")</f>
        <v>8</v>
      </c>
      <c r="D923" s="144">
        <v>44803</v>
      </c>
      <c r="E923" s="143" t="s">
        <v>29</v>
      </c>
      <c r="F923" s="143" t="s">
        <v>105</v>
      </c>
      <c r="G923" s="147">
        <v>240</v>
      </c>
      <c r="H923" s="146"/>
    </row>
    <row r="924" spans="2:8" x14ac:dyDescent="0.2">
      <c r="B924" s="143">
        <f t="shared" si="14"/>
        <v>36</v>
      </c>
      <c r="C924" s="138" t="str">
        <f>TEXT(Таблица8[[#This Row],[Дата]],"М")</f>
        <v>8</v>
      </c>
      <c r="D924" s="144">
        <v>44803</v>
      </c>
      <c r="E924" s="143" t="s">
        <v>20</v>
      </c>
      <c r="F924" s="143" t="s">
        <v>99</v>
      </c>
      <c r="G924" s="147">
        <v>131</v>
      </c>
      <c r="H924" s="146"/>
    </row>
    <row r="925" spans="2:8" x14ac:dyDescent="0.2">
      <c r="B925" s="143">
        <f t="shared" si="14"/>
        <v>36</v>
      </c>
      <c r="C925" s="138" t="str">
        <f>TEXT(Таблица8[[#This Row],[Дата]],"М")</f>
        <v>8</v>
      </c>
      <c r="D925" s="144">
        <v>44803</v>
      </c>
      <c r="E925" s="143" t="s">
        <v>72</v>
      </c>
      <c r="F925" s="143" t="s">
        <v>44</v>
      </c>
      <c r="G925" s="147">
        <v>300</v>
      </c>
      <c r="H925" s="146"/>
    </row>
    <row r="926" spans="2:8" x14ac:dyDescent="0.2">
      <c r="B926" s="143">
        <f t="shared" si="14"/>
        <v>36</v>
      </c>
      <c r="C926" s="138" t="str">
        <f>TEXT(Таблица8[[#This Row],[Дата]],"М")</f>
        <v>8</v>
      </c>
      <c r="D926" s="144">
        <v>44803</v>
      </c>
      <c r="E926" s="143" t="s">
        <v>72</v>
      </c>
      <c r="F926" s="143" t="s">
        <v>132</v>
      </c>
      <c r="G926" s="147">
        <v>200</v>
      </c>
      <c r="H926" s="146"/>
    </row>
    <row r="927" spans="2:8" x14ac:dyDescent="0.2">
      <c r="B927" s="143">
        <f t="shared" si="14"/>
        <v>36</v>
      </c>
      <c r="C927" s="138" t="str">
        <f>TEXT(Таблица8[[#This Row],[Дата]],"М")</f>
        <v>8</v>
      </c>
      <c r="D927" s="144">
        <v>44803</v>
      </c>
      <c r="E927" s="143" t="s">
        <v>72</v>
      </c>
      <c r="F927" s="143" t="s">
        <v>45</v>
      </c>
      <c r="G927" s="147">
        <v>4300</v>
      </c>
      <c r="H927" s="146"/>
    </row>
    <row r="928" spans="2:8" x14ac:dyDescent="0.2">
      <c r="B928" s="143">
        <f t="shared" si="14"/>
        <v>36</v>
      </c>
      <c r="C928" s="138" t="str">
        <f>TEXT(Таблица8[[#This Row],[Дата]],"М")</f>
        <v>8</v>
      </c>
      <c r="D928" s="144">
        <v>44803</v>
      </c>
      <c r="E928" s="143" t="s">
        <v>72</v>
      </c>
      <c r="F928" s="143" t="s">
        <v>124</v>
      </c>
      <c r="G928" s="147">
        <f>150+130</f>
        <v>280</v>
      </c>
      <c r="H928" s="146"/>
    </row>
    <row r="929" spans="2:8" x14ac:dyDescent="0.2">
      <c r="B929" s="137">
        <f t="shared" si="14"/>
        <v>36</v>
      </c>
      <c r="C929" s="138" t="str">
        <f>TEXT(Таблица8[[#This Row],[Дата]],"М")</f>
        <v>8</v>
      </c>
      <c r="D929" s="139">
        <v>44804</v>
      </c>
      <c r="E929" s="137" t="s">
        <v>71</v>
      </c>
      <c r="F929" s="137" t="s">
        <v>94</v>
      </c>
      <c r="G929" s="140">
        <v>64</v>
      </c>
      <c r="H929" s="141"/>
    </row>
    <row r="930" spans="2:8" x14ac:dyDescent="0.2">
      <c r="B930" s="143">
        <f t="shared" si="14"/>
        <v>36</v>
      </c>
      <c r="C930" s="138" t="str">
        <f>TEXT(Таблица8[[#This Row],[Дата]],"М")</f>
        <v>8</v>
      </c>
      <c r="D930" s="144">
        <v>44804</v>
      </c>
      <c r="E930" s="143" t="s">
        <v>72</v>
      </c>
      <c r="F930" s="143" t="s">
        <v>132</v>
      </c>
      <c r="G930" s="147">
        <v>2200</v>
      </c>
      <c r="H930" s="146"/>
    </row>
    <row r="931" spans="2:8" x14ac:dyDescent="0.2">
      <c r="B931" s="143">
        <f t="shared" si="14"/>
        <v>36</v>
      </c>
      <c r="C931" s="138" t="str">
        <f>TEXT(Таблица8[[#This Row],[Дата]],"М")</f>
        <v>8</v>
      </c>
      <c r="D931" s="144">
        <v>44804</v>
      </c>
      <c r="E931" s="143" t="s">
        <v>20</v>
      </c>
      <c r="F931" s="143" t="s">
        <v>99</v>
      </c>
      <c r="G931" s="147">
        <v>235</v>
      </c>
      <c r="H931" s="146"/>
    </row>
    <row r="932" spans="2:8" x14ac:dyDescent="0.2">
      <c r="B932" s="143">
        <f t="shared" si="14"/>
        <v>36</v>
      </c>
      <c r="C932" s="138" t="str">
        <f>TEXT(Таблица8[[#This Row],[Дата]],"М")</f>
        <v>8</v>
      </c>
      <c r="D932" s="144">
        <v>44804</v>
      </c>
      <c r="E932" s="143" t="s">
        <v>19</v>
      </c>
      <c r="F932" s="143" t="s">
        <v>116</v>
      </c>
      <c r="G932" s="147">
        <v>162</v>
      </c>
      <c r="H932" s="146"/>
    </row>
    <row r="933" spans="2:8" x14ac:dyDescent="0.2">
      <c r="B933" s="143">
        <f t="shared" si="14"/>
        <v>36</v>
      </c>
      <c r="C933" s="138" t="str">
        <f>TEXT(Таблица8[[#This Row],[Дата]],"М")</f>
        <v>8</v>
      </c>
      <c r="D933" s="144">
        <v>44804</v>
      </c>
      <c r="E933" s="143" t="s">
        <v>22</v>
      </c>
      <c r="F933" s="143" t="s">
        <v>38</v>
      </c>
      <c r="G933" s="147">
        <f>(2500+250)/2</f>
        <v>1375</v>
      </c>
      <c r="H933" s="146"/>
    </row>
    <row r="934" spans="2:8" x14ac:dyDescent="0.2">
      <c r="B934" s="137">
        <f t="shared" si="14"/>
        <v>36</v>
      </c>
      <c r="C934" s="167" t="str">
        <f>TEXT(Таблица8[[#This Row],[Дата]],"М")</f>
        <v>9</v>
      </c>
      <c r="D934" s="139">
        <v>44805</v>
      </c>
      <c r="E934" s="137" t="s">
        <v>71</v>
      </c>
      <c r="F934" s="137" t="s">
        <v>94</v>
      </c>
      <c r="G934" s="140">
        <v>64</v>
      </c>
      <c r="H934" s="141"/>
    </row>
    <row r="935" spans="2:8" x14ac:dyDescent="0.2">
      <c r="B935" s="143">
        <f t="shared" si="14"/>
        <v>36</v>
      </c>
      <c r="C935" s="138" t="str">
        <f>TEXT(Таблица8[[#This Row],[Дата]],"М")</f>
        <v>9</v>
      </c>
      <c r="D935" s="144">
        <v>44805</v>
      </c>
      <c r="E935" s="143" t="s">
        <v>72</v>
      </c>
      <c r="F935" s="143" t="s">
        <v>132</v>
      </c>
      <c r="G935" s="147">
        <v>100</v>
      </c>
      <c r="H935" s="146"/>
    </row>
    <row r="936" spans="2:8" x14ac:dyDescent="0.2">
      <c r="B936" s="143">
        <f t="shared" si="14"/>
        <v>36</v>
      </c>
      <c r="C936" s="138" t="str">
        <f>TEXT(Таблица8[[#This Row],[Дата]],"М")</f>
        <v>9</v>
      </c>
      <c r="D936" s="144">
        <v>44805</v>
      </c>
      <c r="E936" s="143" t="s">
        <v>20</v>
      </c>
      <c r="F936" s="143" t="s">
        <v>99</v>
      </c>
      <c r="G936" s="147">
        <v>278</v>
      </c>
      <c r="H936" s="146"/>
    </row>
    <row r="937" spans="2:8" x14ac:dyDescent="0.2">
      <c r="B937" s="143">
        <f t="shared" si="14"/>
        <v>36</v>
      </c>
      <c r="C937" s="138" t="str">
        <f>TEXT(Таблица8[[#This Row],[Дата]],"М")</f>
        <v>9</v>
      </c>
      <c r="D937" s="144">
        <v>44805</v>
      </c>
      <c r="E937" s="143" t="s">
        <v>30</v>
      </c>
      <c r="F937" s="143" t="s">
        <v>92</v>
      </c>
      <c r="G937" s="147">
        <v>210</v>
      </c>
      <c r="H937" s="146"/>
    </row>
    <row r="938" spans="2:8" x14ac:dyDescent="0.2">
      <c r="B938" s="137">
        <f t="shared" si="14"/>
        <v>36</v>
      </c>
      <c r="C938" s="167" t="str">
        <f>TEXT(Таблица8[[#This Row],[Дата]],"М")</f>
        <v>9</v>
      </c>
      <c r="D938" s="139">
        <v>44806</v>
      </c>
      <c r="E938" s="137" t="s">
        <v>71</v>
      </c>
      <c r="F938" s="137" t="s">
        <v>94</v>
      </c>
      <c r="G938" s="140">
        <v>64</v>
      </c>
      <c r="H938" s="141"/>
    </row>
    <row r="939" spans="2:8" x14ac:dyDescent="0.2">
      <c r="B939" s="143">
        <f t="shared" si="14"/>
        <v>36</v>
      </c>
      <c r="C939" s="138" t="str">
        <f>TEXT(Таблица8[[#This Row],[Дата]],"М")</f>
        <v>9</v>
      </c>
      <c r="D939" s="144">
        <v>44806</v>
      </c>
      <c r="E939" s="143" t="s">
        <v>20</v>
      </c>
      <c r="F939" s="143" t="s">
        <v>95</v>
      </c>
      <c r="G939" s="147">
        <v>36</v>
      </c>
      <c r="H939" s="146"/>
    </row>
    <row r="940" spans="2:8" x14ac:dyDescent="0.2">
      <c r="B940" s="143">
        <f t="shared" si="14"/>
        <v>36</v>
      </c>
      <c r="C940" s="138" t="str">
        <f>TEXT(Таблица8[[#This Row],[Дата]],"М")</f>
        <v>9</v>
      </c>
      <c r="D940" s="144">
        <v>44806</v>
      </c>
      <c r="E940" s="143" t="s">
        <v>20</v>
      </c>
      <c r="F940" s="143" t="s">
        <v>118</v>
      </c>
      <c r="G940" s="147">
        <f>300</f>
        <v>300</v>
      </c>
      <c r="H940" s="146"/>
    </row>
    <row r="941" spans="2:8" x14ac:dyDescent="0.2">
      <c r="B941" s="143">
        <f t="shared" si="14"/>
        <v>36</v>
      </c>
      <c r="C941" s="138" t="str">
        <f>TEXT(Таблица8[[#This Row],[Дата]],"М")</f>
        <v>9</v>
      </c>
      <c r="D941" s="144">
        <v>44806</v>
      </c>
      <c r="E941" s="143" t="s">
        <v>20</v>
      </c>
      <c r="F941" s="143" t="s">
        <v>125</v>
      </c>
      <c r="G941" s="147">
        <f>180+70</f>
        <v>250</v>
      </c>
      <c r="H941" s="146"/>
    </row>
    <row r="942" spans="2:8" x14ac:dyDescent="0.2">
      <c r="B942" s="137">
        <f t="shared" si="14"/>
        <v>36</v>
      </c>
      <c r="C942" s="167" t="str">
        <f>TEXT(Таблица8[[#This Row],[Дата]],"М")</f>
        <v>9</v>
      </c>
      <c r="D942" s="139">
        <v>44807</v>
      </c>
      <c r="E942" s="137" t="s">
        <v>19</v>
      </c>
      <c r="F942" s="137" t="s">
        <v>96</v>
      </c>
      <c r="G942" s="140">
        <f>134+115</f>
        <v>249</v>
      </c>
      <c r="H942" s="141"/>
    </row>
    <row r="943" spans="2:8" x14ac:dyDescent="0.2">
      <c r="B943" s="143">
        <f t="shared" si="14"/>
        <v>36</v>
      </c>
      <c r="C943" s="138" t="str">
        <f>TEXT(Таблица8[[#This Row],[Дата]],"М")</f>
        <v>9</v>
      </c>
      <c r="D943" s="144">
        <v>44807</v>
      </c>
      <c r="E943" s="143" t="s">
        <v>20</v>
      </c>
      <c r="F943" s="143" t="s">
        <v>97</v>
      </c>
      <c r="G943" s="147">
        <v>418</v>
      </c>
      <c r="H943" s="146"/>
    </row>
    <row r="944" spans="2:8" x14ac:dyDescent="0.2">
      <c r="B944" s="137">
        <f t="shared" si="14"/>
        <v>37</v>
      </c>
      <c r="C944" s="167" t="str">
        <f>TEXT(Таблица8[[#This Row],[Дата]],"М")</f>
        <v>9</v>
      </c>
      <c r="D944" s="139">
        <v>44808</v>
      </c>
      <c r="E944" s="137" t="s">
        <v>71</v>
      </c>
      <c r="F944" s="137" t="s">
        <v>94</v>
      </c>
      <c r="G944" s="140">
        <v>64</v>
      </c>
      <c r="H944" s="141"/>
    </row>
    <row r="945" spans="2:8" x14ac:dyDescent="0.2">
      <c r="B945" s="143">
        <f t="shared" si="14"/>
        <v>37</v>
      </c>
      <c r="C945" s="138" t="str">
        <f>TEXT(Таблица8[[#This Row],[Дата]],"М")</f>
        <v>9</v>
      </c>
      <c r="D945" s="144">
        <v>44808</v>
      </c>
      <c r="E945" s="143" t="s">
        <v>20</v>
      </c>
      <c r="F945" s="143" t="s">
        <v>99</v>
      </c>
      <c r="G945" s="147">
        <v>139</v>
      </c>
      <c r="H945" s="146"/>
    </row>
    <row r="946" spans="2:8" x14ac:dyDescent="0.2">
      <c r="B946" s="143">
        <f t="shared" si="14"/>
        <v>37</v>
      </c>
      <c r="C946" s="138" t="str">
        <f>TEXT(Таблица8[[#This Row],[Дата]],"М")</f>
        <v>9</v>
      </c>
      <c r="D946" s="144">
        <v>44808</v>
      </c>
      <c r="E946" s="143" t="s">
        <v>23</v>
      </c>
      <c r="F946" s="143" t="s">
        <v>111</v>
      </c>
      <c r="G946" s="147">
        <v>221</v>
      </c>
      <c r="H946" s="146"/>
    </row>
    <row r="947" spans="2:8" x14ac:dyDescent="0.2">
      <c r="B947" s="143">
        <f t="shared" si="14"/>
        <v>37</v>
      </c>
      <c r="C947" s="138" t="str">
        <f>TEXT(Таблица8[[#This Row],[Дата]],"М")</f>
        <v>9</v>
      </c>
      <c r="D947" s="144">
        <v>44808</v>
      </c>
      <c r="E947" s="143" t="s">
        <v>19</v>
      </c>
      <c r="F947" s="143" t="s">
        <v>116</v>
      </c>
      <c r="G947" s="147">
        <v>120</v>
      </c>
      <c r="H947" s="146"/>
    </row>
    <row r="948" spans="2:8" x14ac:dyDescent="0.2">
      <c r="B948" s="137">
        <f t="shared" si="14"/>
        <v>37</v>
      </c>
      <c r="C948" s="167" t="str">
        <f>TEXT(Таблица8[[#This Row],[Дата]],"М")</f>
        <v>9</v>
      </c>
      <c r="D948" s="139">
        <v>44809</v>
      </c>
      <c r="E948" s="137" t="s">
        <v>71</v>
      </c>
      <c r="F948" s="137" t="s">
        <v>94</v>
      </c>
      <c r="G948" s="140">
        <v>64</v>
      </c>
      <c r="H948" s="141"/>
    </row>
    <row r="949" spans="2:8" x14ac:dyDescent="0.2">
      <c r="B949" s="143">
        <f t="shared" si="14"/>
        <v>37</v>
      </c>
      <c r="C949" s="138" t="str">
        <f>TEXT(Таблица8[[#This Row],[Дата]],"М")</f>
        <v>9</v>
      </c>
      <c r="D949" s="144">
        <v>44809</v>
      </c>
      <c r="E949" s="143" t="s">
        <v>20</v>
      </c>
      <c r="F949" s="143" t="s">
        <v>99</v>
      </c>
      <c r="G949" s="147">
        <f>263+39</f>
        <v>302</v>
      </c>
      <c r="H949" s="146"/>
    </row>
    <row r="950" spans="2:8" x14ac:dyDescent="0.2">
      <c r="B950" s="143">
        <f t="shared" si="14"/>
        <v>37</v>
      </c>
      <c r="C950" s="138" t="str">
        <f>TEXT(Таблица8[[#This Row],[Дата]],"М")</f>
        <v>9</v>
      </c>
      <c r="D950" s="144">
        <v>44809</v>
      </c>
      <c r="E950" s="143" t="s">
        <v>19</v>
      </c>
      <c r="F950" s="143" t="s">
        <v>96</v>
      </c>
      <c r="G950" s="147">
        <f>451+138</f>
        <v>589</v>
      </c>
      <c r="H950" s="146"/>
    </row>
    <row r="951" spans="2:8" x14ac:dyDescent="0.2">
      <c r="B951" s="137">
        <f t="shared" si="14"/>
        <v>37</v>
      </c>
      <c r="C951" s="167" t="str">
        <f>TEXT(Таблица8[[#This Row],[Дата]],"М")</f>
        <v>9</v>
      </c>
      <c r="D951" s="139">
        <v>44810</v>
      </c>
      <c r="E951" s="137" t="s">
        <v>71</v>
      </c>
      <c r="F951" s="137" t="s">
        <v>94</v>
      </c>
      <c r="G951" s="140">
        <v>32</v>
      </c>
      <c r="H951" s="141"/>
    </row>
    <row r="952" spans="2:8" x14ac:dyDescent="0.2">
      <c r="B952" s="143">
        <f t="shared" si="14"/>
        <v>37</v>
      </c>
      <c r="C952" s="138" t="str">
        <f>TEXT(Таблица8[[#This Row],[Дата]],"М")</f>
        <v>9</v>
      </c>
      <c r="D952" s="144">
        <v>44810</v>
      </c>
      <c r="E952" s="143" t="s">
        <v>20</v>
      </c>
      <c r="F952" s="143" t="s">
        <v>99</v>
      </c>
      <c r="G952" s="147">
        <v>270</v>
      </c>
      <c r="H952" s="146"/>
    </row>
    <row r="953" spans="2:8" x14ac:dyDescent="0.2">
      <c r="B953" s="143">
        <f t="shared" si="14"/>
        <v>37</v>
      </c>
      <c r="C953" s="138" t="str">
        <f>TEXT(Таблица8[[#This Row],[Дата]],"М")</f>
        <v>9</v>
      </c>
      <c r="D953" s="144">
        <v>44810</v>
      </c>
      <c r="E953" s="143" t="s">
        <v>19</v>
      </c>
      <c r="F953" s="143" t="s">
        <v>96</v>
      </c>
      <c r="G953" s="147">
        <f>179-123+81</f>
        <v>137</v>
      </c>
      <c r="H953" s="146"/>
    </row>
    <row r="954" spans="2:8" x14ac:dyDescent="0.2">
      <c r="B954" s="137">
        <f t="shared" si="14"/>
        <v>37</v>
      </c>
      <c r="C954" s="167" t="str">
        <f>TEXT(Таблица8[[#This Row],[Дата]],"М")</f>
        <v>9</v>
      </c>
      <c r="D954" s="139">
        <v>44811</v>
      </c>
      <c r="E954" s="137" t="s">
        <v>71</v>
      </c>
      <c r="F954" s="137" t="s">
        <v>115</v>
      </c>
      <c r="G954" s="140">
        <v>73</v>
      </c>
      <c r="H954" s="141"/>
    </row>
    <row r="955" spans="2:8" x14ac:dyDescent="0.2">
      <c r="B955" s="143">
        <f t="shared" si="14"/>
        <v>37</v>
      </c>
      <c r="C955" s="138" t="str">
        <f>TEXT(Таблица8[[#This Row],[Дата]],"М")</f>
        <v>9</v>
      </c>
      <c r="D955" s="144">
        <v>44811</v>
      </c>
      <c r="E955" s="143" t="s">
        <v>23</v>
      </c>
      <c r="F955" s="143" t="s">
        <v>111</v>
      </c>
      <c r="G955" s="147">
        <v>199</v>
      </c>
      <c r="H955" s="146"/>
    </row>
    <row r="956" spans="2:8" x14ac:dyDescent="0.2">
      <c r="B956" s="137">
        <f t="shared" si="14"/>
        <v>37</v>
      </c>
      <c r="C956" s="167" t="str">
        <f>TEXT(Таблица8[[#This Row],[Дата]],"М")</f>
        <v>9</v>
      </c>
      <c r="D956" s="139">
        <v>44812</v>
      </c>
      <c r="E956" s="137" t="s">
        <v>19</v>
      </c>
      <c r="F956" s="137" t="s">
        <v>96</v>
      </c>
      <c r="G956" s="140">
        <v>311</v>
      </c>
      <c r="H956" s="141"/>
    </row>
    <row r="957" spans="2:8" x14ac:dyDescent="0.2">
      <c r="B957" s="143">
        <f t="shared" si="14"/>
        <v>37</v>
      </c>
      <c r="C957" s="138" t="str">
        <f>TEXT(Таблица8[[#This Row],[Дата]],"М")</f>
        <v>9</v>
      </c>
      <c r="D957" s="144">
        <v>44812</v>
      </c>
      <c r="E957" s="143" t="s">
        <v>23</v>
      </c>
      <c r="F957" s="143" t="s">
        <v>103</v>
      </c>
      <c r="G957" s="147">
        <f>120+200</f>
        <v>320</v>
      </c>
      <c r="H957" s="146"/>
    </row>
    <row r="958" spans="2:8" x14ac:dyDescent="0.2">
      <c r="B958" s="137">
        <f t="shared" si="14"/>
        <v>37</v>
      </c>
      <c r="C958" s="167" t="str">
        <f>TEXT(Таблица8[[#This Row],[Дата]],"М")</f>
        <v>9</v>
      </c>
      <c r="D958" s="139">
        <v>44813</v>
      </c>
      <c r="E958" s="137" t="s">
        <v>19</v>
      </c>
      <c r="F958" s="137" t="s">
        <v>96</v>
      </c>
      <c r="G958" s="140">
        <v>70</v>
      </c>
      <c r="H958" s="141"/>
    </row>
    <row r="959" spans="2:8" x14ac:dyDescent="0.2">
      <c r="B959" s="137">
        <f t="shared" ref="B959:B1011" si="15">WEEKNUM(D959)</f>
        <v>37</v>
      </c>
      <c r="C959" s="167" t="str">
        <f>TEXT(Таблица8[[#This Row],[Дата]],"М")</f>
        <v>9</v>
      </c>
      <c r="D959" s="139">
        <v>44814</v>
      </c>
      <c r="E959" s="137" t="s">
        <v>71</v>
      </c>
      <c r="F959" s="137" t="s">
        <v>94</v>
      </c>
      <c r="G959" s="140">
        <v>64</v>
      </c>
      <c r="H959" s="141"/>
    </row>
    <row r="960" spans="2:8" x14ac:dyDescent="0.2">
      <c r="B960" s="143">
        <f t="shared" si="15"/>
        <v>37</v>
      </c>
      <c r="C960" s="138" t="str">
        <f>TEXT(Таблица8[[#This Row],[Дата]],"М")</f>
        <v>9</v>
      </c>
      <c r="D960" s="144">
        <v>44814</v>
      </c>
      <c r="E960" s="143" t="s">
        <v>20</v>
      </c>
      <c r="F960" s="143" t="s">
        <v>99</v>
      </c>
      <c r="G960" s="147">
        <v>242</v>
      </c>
      <c r="H960" s="146"/>
    </row>
    <row r="961" spans="2:8" x14ac:dyDescent="0.2">
      <c r="B961" s="137">
        <f t="shared" si="15"/>
        <v>38</v>
      </c>
      <c r="C961" s="167" t="str">
        <f>TEXT(Таблица8[[#This Row],[Дата]],"М")</f>
        <v>9</v>
      </c>
      <c r="D961" s="139">
        <v>44815</v>
      </c>
      <c r="E961" s="137" t="s">
        <v>71</v>
      </c>
      <c r="F961" s="137" t="s">
        <v>94</v>
      </c>
      <c r="G961" s="140">
        <v>64</v>
      </c>
      <c r="H961" s="141"/>
    </row>
    <row r="962" spans="2:8" x14ac:dyDescent="0.2">
      <c r="B962" s="143">
        <f t="shared" si="15"/>
        <v>38</v>
      </c>
      <c r="C962" s="138" t="str">
        <f>TEXT(Таблица8[[#This Row],[Дата]],"М")</f>
        <v>9</v>
      </c>
      <c r="D962" s="144">
        <v>44815</v>
      </c>
      <c r="E962" s="143" t="s">
        <v>20</v>
      </c>
      <c r="F962" s="143" t="s">
        <v>99</v>
      </c>
      <c r="G962" s="147">
        <f>242+39</f>
        <v>281</v>
      </c>
      <c r="H962" s="146"/>
    </row>
    <row r="963" spans="2:8" x14ac:dyDescent="0.2">
      <c r="B963" s="143">
        <f t="shared" si="15"/>
        <v>38</v>
      </c>
      <c r="C963" s="138" t="str">
        <f>TEXT(Таблица8[[#This Row],[Дата]],"М")</f>
        <v>9</v>
      </c>
      <c r="D963" s="144">
        <v>44815</v>
      </c>
      <c r="E963" s="143" t="s">
        <v>20</v>
      </c>
      <c r="F963" s="143" t="s">
        <v>95</v>
      </c>
      <c r="G963" s="147">
        <v>60</v>
      </c>
      <c r="H963" s="146"/>
    </row>
    <row r="964" spans="2:8" x14ac:dyDescent="0.2">
      <c r="B964" s="143">
        <f t="shared" si="15"/>
        <v>38</v>
      </c>
      <c r="C964" s="138" t="str">
        <f>TEXT(Таблица8[[#This Row],[Дата]],"М")</f>
        <v>9</v>
      </c>
      <c r="D964" s="144">
        <v>44815</v>
      </c>
      <c r="E964" s="143" t="s">
        <v>19</v>
      </c>
      <c r="F964" s="143" t="s">
        <v>96</v>
      </c>
      <c r="G964" s="147">
        <v>180</v>
      </c>
      <c r="H964" s="146"/>
    </row>
    <row r="965" spans="2:8" x14ac:dyDescent="0.2">
      <c r="B965" s="137">
        <f t="shared" si="15"/>
        <v>38</v>
      </c>
      <c r="C965" s="167" t="str">
        <f>TEXT(Таблица8[[#This Row],[Дата]],"М")</f>
        <v>9</v>
      </c>
      <c r="D965" s="139">
        <v>44816</v>
      </c>
      <c r="E965" s="137" t="s">
        <v>71</v>
      </c>
      <c r="F965" s="137" t="s">
        <v>94</v>
      </c>
      <c r="G965" s="140">
        <v>64</v>
      </c>
      <c r="H965" s="141"/>
    </row>
    <row r="966" spans="2:8" x14ac:dyDescent="0.2">
      <c r="B966" s="143">
        <f t="shared" si="15"/>
        <v>38</v>
      </c>
      <c r="C966" s="138" t="str">
        <f>TEXT(Таблица8[[#This Row],[Дата]],"М")</f>
        <v>9</v>
      </c>
      <c r="D966" s="144">
        <v>44816</v>
      </c>
      <c r="E966" s="143" t="s">
        <v>20</v>
      </c>
      <c r="F966" s="143" t="s">
        <v>99</v>
      </c>
      <c r="G966" s="147">
        <v>318</v>
      </c>
      <c r="H966" s="146"/>
    </row>
    <row r="967" spans="2:8" x14ac:dyDescent="0.2">
      <c r="B967" s="143">
        <f t="shared" si="15"/>
        <v>38</v>
      </c>
      <c r="C967" s="138" t="str">
        <f>TEXT(Таблица8[[#This Row],[Дата]],"М")</f>
        <v>9</v>
      </c>
      <c r="D967" s="144">
        <v>44816</v>
      </c>
      <c r="E967" s="143" t="s">
        <v>19</v>
      </c>
      <c r="F967" s="143" t="s">
        <v>96</v>
      </c>
      <c r="G967" s="147">
        <v>396</v>
      </c>
      <c r="H967" s="146"/>
    </row>
    <row r="968" spans="2:8" x14ac:dyDescent="0.2">
      <c r="B968" s="143">
        <f t="shared" si="15"/>
        <v>38</v>
      </c>
      <c r="C968" s="138" t="str">
        <f>TEXT(Таблица8[[#This Row],[Дата]],"М")</f>
        <v>9</v>
      </c>
      <c r="D968" s="144">
        <v>44816</v>
      </c>
      <c r="E968" s="143" t="s">
        <v>72</v>
      </c>
      <c r="F968" s="143" t="s">
        <v>132</v>
      </c>
      <c r="G968" s="147">
        <v>100</v>
      </c>
      <c r="H968" s="146"/>
    </row>
    <row r="969" spans="2:8" x14ac:dyDescent="0.2">
      <c r="B969" s="143">
        <f t="shared" si="15"/>
        <v>38</v>
      </c>
      <c r="C969" s="138" t="str">
        <f>TEXT(Таблица8[[#This Row],[Дата]],"М")</f>
        <v>9</v>
      </c>
      <c r="D969" s="144">
        <v>44816</v>
      </c>
      <c r="E969" s="143" t="s">
        <v>71</v>
      </c>
      <c r="F969" s="143" t="s">
        <v>91</v>
      </c>
      <c r="G969" s="147">
        <v>100</v>
      </c>
      <c r="H969" s="146"/>
    </row>
    <row r="970" spans="2:8" x14ac:dyDescent="0.2">
      <c r="B970" s="137">
        <f t="shared" si="15"/>
        <v>38</v>
      </c>
      <c r="C970" s="167" t="str">
        <f>TEXT(Таблица8[[#This Row],[Дата]],"М")</f>
        <v>9</v>
      </c>
      <c r="D970" s="139">
        <v>44817</v>
      </c>
      <c r="E970" s="137" t="s">
        <v>71</v>
      </c>
      <c r="F970" s="137" t="s">
        <v>94</v>
      </c>
      <c r="G970" s="140">
        <f>32*3</f>
        <v>96</v>
      </c>
      <c r="H970" s="141"/>
    </row>
    <row r="971" spans="2:8" x14ac:dyDescent="0.2">
      <c r="B971" s="143">
        <f t="shared" si="15"/>
        <v>38</v>
      </c>
      <c r="C971" s="138" t="str">
        <f>TEXT(Таблица8[[#This Row],[Дата]],"М")</f>
        <v>9</v>
      </c>
      <c r="D971" s="144">
        <v>44817</v>
      </c>
      <c r="E971" s="143" t="s">
        <v>20</v>
      </c>
      <c r="F971" s="143" t="s">
        <v>95</v>
      </c>
      <c r="G971" s="147">
        <f>1116-950</f>
        <v>166</v>
      </c>
      <c r="H971" s="146"/>
    </row>
    <row r="972" spans="2:8" x14ac:dyDescent="0.2">
      <c r="B972" s="143">
        <f t="shared" si="15"/>
        <v>38</v>
      </c>
      <c r="C972" s="138" t="str">
        <f>TEXT(Таблица8[[#This Row],[Дата]],"М")</f>
        <v>9</v>
      </c>
      <c r="D972" s="144">
        <v>44817</v>
      </c>
      <c r="E972" s="143" t="s">
        <v>71</v>
      </c>
      <c r="F972" s="143" t="s">
        <v>115</v>
      </c>
      <c r="G972" s="147">
        <v>264</v>
      </c>
      <c r="H972" s="146"/>
    </row>
    <row r="973" spans="2:8" x14ac:dyDescent="0.2">
      <c r="B973" s="143">
        <f t="shared" si="15"/>
        <v>38</v>
      </c>
      <c r="C973" s="138" t="str">
        <f>TEXT(Таблица8[[#This Row],[Дата]],"М")</f>
        <v>9</v>
      </c>
      <c r="D973" s="144">
        <v>44817</v>
      </c>
      <c r="E973" s="143" t="s">
        <v>72</v>
      </c>
      <c r="F973" s="143" t="s">
        <v>132</v>
      </c>
      <c r="G973" s="147">
        <v>100</v>
      </c>
      <c r="H973" s="146"/>
    </row>
    <row r="974" spans="2:8" x14ac:dyDescent="0.2">
      <c r="B974" s="137">
        <f t="shared" si="15"/>
        <v>38</v>
      </c>
      <c r="C974" s="167" t="str">
        <f>TEXT(Таблица8[[#This Row],[Дата]],"М")</f>
        <v>9</v>
      </c>
      <c r="D974" s="139">
        <v>44818</v>
      </c>
      <c r="E974" s="137" t="s">
        <v>71</v>
      </c>
      <c r="F974" s="137" t="s">
        <v>115</v>
      </c>
      <c r="G974" s="140">
        <v>264</v>
      </c>
      <c r="H974" s="141"/>
    </row>
    <row r="975" spans="2:8" x14ac:dyDescent="0.2">
      <c r="B975" s="143">
        <f t="shared" si="15"/>
        <v>38</v>
      </c>
      <c r="C975" s="138" t="str">
        <f>TEXT(Таблица8[[#This Row],[Дата]],"М")</f>
        <v>9</v>
      </c>
      <c r="D975" s="144">
        <v>44818</v>
      </c>
      <c r="E975" s="143" t="s">
        <v>71</v>
      </c>
      <c r="F975" s="143" t="s">
        <v>94</v>
      </c>
      <c r="G975" s="147">
        <v>32</v>
      </c>
      <c r="H975" s="146"/>
    </row>
    <row r="976" spans="2:8" x14ac:dyDescent="0.2">
      <c r="B976" s="143">
        <f t="shared" si="15"/>
        <v>38</v>
      </c>
      <c r="C976" s="138" t="str">
        <f>TEXT(Таблица8[[#This Row],[Дата]],"М")</f>
        <v>9</v>
      </c>
      <c r="D976" s="144">
        <v>44818</v>
      </c>
      <c r="E976" s="143" t="s">
        <v>20</v>
      </c>
      <c r="F976" s="143" t="s">
        <v>102</v>
      </c>
      <c r="G976" s="147">
        <v>174</v>
      </c>
      <c r="H976" s="146"/>
    </row>
    <row r="977" spans="2:8" x14ac:dyDescent="0.2">
      <c r="B977" s="143">
        <f t="shared" si="15"/>
        <v>38</v>
      </c>
      <c r="C977" s="138" t="str">
        <f>TEXT(Таблица8[[#This Row],[Дата]],"М")</f>
        <v>9</v>
      </c>
      <c r="D977" s="144">
        <v>44818</v>
      </c>
      <c r="E977" s="143" t="s">
        <v>19</v>
      </c>
      <c r="F977" s="143" t="s">
        <v>96</v>
      </c>
      <c r="G977" s="147">
        <f>139+191</f>
        <v>330</v>
      </c>
      <c r="H977" s="146"/>
    </row>
    <row r="978" spans="2:8" x14ac:dyDescent="0.2">
      <c r="B978" s="137">
        <f t="shared" si="15"/>
        <v>38</v>
      </c>
      <c r="C978" s="167" t="str">
        <f>TEXT(Таблица8[[#This Row],[Дата]],"М")</f>
        <v>9</v>
      </c>
      <c r="D978" s="139">
        <v>44819</v>
      </c>
      <c r="E978" s="137" t="s">
        <v>72</v>
      </c>
      <c r="F978" s="137" t="s">
        <v>132</v>
      </c>
      <c r="G978" s="140">
        <v>300</v>
      </c>
      <c r="H978" s="141"/>
    </row>
    <row r="979" spans="2:8" x14ac:dyDescent="0.2">
      <c r="B979" s="143">
        <f t="shared" si="15"/>
        <v>38</v>
      </c>
      <c r="C979" s="138" t="str">
        <f>TEXT(Таблица8[[#This Row],[Дата]],"М")</f>
        <v>9</v>
      </c>
      <c r="D979" s="144">
        <v>44819</v>
      </c>
      <c r="E979" s="143" t="s">
        <v>72</v>
      </c>
      <c r="F979" s="143" t="s">
        <v>44</v>
      </c>
      <c r="G979" s="147">
        <v>130</v>
      </c>
      <c r="H979" s="146"/>
    </row>
    <row r="980" spans="2:8" x14ac:dyDescent="0.2">
      <c r="B980" s="143">
        <f t="shared" si="15"/>
        <v>38</v>
      </c>
      <c r="C980" s="138" t="str">
        <f>TEXT(Таблица8[[#This Row],[Дата]],"М")</f>
        <v>9</v>
      </c>
      <c r="D980" s="144">
        <v>44819</v>
      </c>
      <c r="E980" s="143" t="s">
        <v>72</v>
      </c>
      <c r="F980" s="143" t="s">
        <v>124</v>
      </c>
      <c r="G980" s="147">
        <v>130</v>
      </c>
      <c r="H980" s="146"/>
    </row>
    <row r="981" spans="2:8" x14ac:dyDescent="0.2">
      <c r="B981" s="143">
        <f t="shared" si="15"/>
        <v>38</v>
      </c>
      <c r="C981" s="138" t="str">
        <f>TEXT(Таблица8[[#This Row],[Дата]],"М")</f>
        <v>9</v>
      </c>
      <c r="D981" s="144">
        <v>44819</v>
      </c>
      <c r="E981" s="143" t="s">
        <v>72</v>
      </c>
      <c r="F981" s="143" t="s">
        <v>40</v>
      </c>
      <c r="G981" s="147">
        <v>130</v>
      </c>
      <c r="H981" s="146"/>
    </row>
    <row r="982" spans="2:8" x14ac:dyDescent="0.2">
      <c r="B982" s="143">
        <f t="shared" si="15"/>
        <v>38</v>
      </c>
      <c r="C982" s="138" t="str">
        <f>TEXT(Таблица8[[#This Row],[Дата]],"М")</f>
        <v>9</v>
      </c>
      <c r="D982" s="144">
        <v>44819</v>
      </c>
      <c r="E982" s="143" t="s">
        <v>72</v>
      </c>
      <c r="F982" s="143" t="s">
        <v>43</v>
      </c>
      <c r="G982" s="147">
        <v>130</v>
      </c>
      <c r="H982" s="146"/>
    </row>
    <row r="983" spans="2:8" x14ac:dyDescent="0.2">
      <c r="B983" s="143">
        <f t="shared" si="15"/>
        <v>38</v>
      </c>
      <c r="C983" s="138" t="str">
        <f>TEXT(Таблица8[[#This Row],[Дата]],"М")</f>
        <v>9</v>
      </c>
      <c r="D983" s="144">
        <v>44819</v>
      </c>
      <c r="E983" s="143" t="s">
        <v>19</v>
      </c>
      <c r="F983" s="143" t="s">
        <v>96</v>
      </c>
      <c r="G983" s="147">
        <v>314</v>
      </c>
      <c r="H983" s="146"/>
    </row>
    <row r="984" spans="2:8" x14ac:dyDescent="0.2">
      <c r="B984" s="137">
        <f t="shared" si="15"/>
        <v>38</v>
      </c>
      <c r="C984" s="167" t="str">
        <f>TEXT(Таблица8[[#This Row],[Дата]],"М")</f>
        <v>9</v>
      </c>
      <c r="D984" s="139">
        <v>44820</v>
      </c>
      <c r="E984" s="137" t="s">
        <v>71</v>
      </c>
      <c r="F984" s="137" t="s">
        <v>94</v>
      </c>
      <c r="G984" s="140">
        <v>64</v>
      </c>
      <c r="H984" s="141"/>
    </row>
    <row r="985" spans="2:8" x14ac:dyDescent="0.2">
      <c r="B985" s="143">
        <f t="shared" si="15"/>
        <v>38</v>
      </c>
      <c r="C985" s="138" t="str">
        <f>TEXT(Таблица8[[#This Row],[Дата]],"М")</f>
        <v>9</v>
      </c>
      <c r="D985" s="144">
        <v>44820</v>
      </c>
      <c r="E985" s="143" t="s">
        <v>20</v>
      </c>
      <c r="F985" s="143" t="s">
        <v>99</v>
      </c>
      <c r="G985" s="147">
        <v>278</v>
      </c>
      <c r="H985" s="146"/>
    </row>
    <row r="986" spans="2:8" x14ac:dyDescent="0.2">
      <c r="B986" s="143">
        <f t="shared" si="15"/>
        <v>38</v>
      </c>
      <c r="C986" s="138" t="str">
        <f>TEXT(Таблица8[[#This Row],[Дата]],"М")</f>
        <v>9</v>
      </c>
      <c r="D986" s="144">
        <v>44820</v>
      </c>
      <c r="E986" s="143" t="s">
        <v>19</v>
      </c>
      <c r="F986" s="143" t="s">
        <v>96</v>
      </c>
      <c r="G986" s="147">
        <v>156</v>
      </c>
      <c r="H986" s="146"/>
    </row>
    <row r="987" spans="2:8" x14ac:dyDescent="0.2">
      <c r="B987" s="137">
        <f t="shared" si="15"/>
        <v>38</v>
      </c>
      <c r="C987" s="167" t="str">
        <f>TEXT(Таблица8[[#This Row],[Дата]],"М")</f>
        <v>9</v>
      </c>
      <c r="D987" s="139">
        <v>44821</v>
      </c>
      <c r="E987" s="137" t="s">
        <v>71</v>
      </c>
      <c r="F987" s="137" t="s">
        <v>94</v>
      </c>
      <c r="G987" s="140">
        <v>64</v>
      </c>
      <c r="H987" s="141"/>
    </row>
    <row r="988" spans="2:8" x14ac:dyDescent="0.2">
      <c r="B988" s="143">
        <f t="shared" si="15"/>
        <v>38</v>
      </c>
      <c r="C988" s="138" t="str">
        <f>TEXT(Таблица8[[#This Row],[Дата]],"М")</f>
        <v>9</v>
      </c>
      <c r="D988" s="144">
        <v>44821</v>
      </c>
      <c r="E988" s="143" t="s">
        <v>20</v>
      </c>
      <c r="F988" s="143" t="s">
        <v>99</v>
      </c>
      <c r="G988" s="147">
        <f>349+39</f>
        <v>388</v>
      </c>
      <c r="H988" s="146"/>
    </row>
    <row r="989" spans="2:8" x14ac:dyDescent="0.2">
      <c r="B989" s="143">
        <f t="shared" si="15"/>
        <v>38</v>
      </c>
      <c r="C989" s="138" t="str">
        <f>TEXT(Таблица8[[#This Row],[Дата]],"М")</f>
        <v>9</v>
      </c>
      <c r="D989" s="144">
        <v>44821</v>
      </c>
      <c r="E989" s="143" t="s">
        <v>19</v>
      </c>
      <c r="F989" s="143" t="s">
        <v>96</v>
      </c>
      <c r="G989" s="147">
        <v>409</v>
      </c>
      <c r="H989" s="146"/>
    </row>
    <row r="990" spans="2:8" x14ac:dyDescent="0.2">
      <c r="B990" s="137">
        <f t="shared" si="15"/>
        <v>39</v>
      </c>
      <c r="C990" s="167" t="str">
        <f>TEXT(Таблица8[[#This Row],[Дата]],"М")</f>
        <v>9</v>
      </c>
      <c r="D990" s="139">
        <v>44822</v>
      </c>
      <c r="E990" s="137" t="s">
        <v>71</v>
      </c>
      <c r="F990" s="137" t="s">
        <v>94</v>
      </c>
      <c r="G990" s="140">
        <v>64</v>
      </c>
      <c r="H990" s="141"/>
    </row>
    <row r="991" spans="2:8" x14ac:dyDescent="0.2">
      <c r="B991" s="143">
        <f t="shared" si="15"/>
        <v>39</v>
      </c>
      <c r="C991" s="138" t="str">
        <f>TEXT(Таблица8[[#This Row],[Дата]],"М")</f>
        <v>9</v>
      </c>
      <c r="D991" s="144">
        <v>44822</v>
      </c>
      <c r="E991" s="143" t="s">
        <v>20</v>
      </c>
      <c r="F991" s="143" t="s">
        <v>99</v>
      </c>
      <c r="G991" s="147">
        <v>283</v>
      </c>
      <c r="H991" s="146"/>
    </row>
    <row r="992" spans="2:8" x14ac:dyDescent="0.2">
      <c r="B992" s="143">
        <f t="shared" si="15"/>
        <v>39</v>
      </c>
      <c r="C992" s="138" t="str">
        <f>TEXT(Таблица8[[#This Row],[Дата]],"М")</f>
        <v>9</v>
      </c>
      <c r="D992" s="144">
        <v>44822</v>
      </c>
      <c r="E992" s="143" t="s">
        <v>19</v>
      </c>
      <c r="F992" s="143" t="s">
        <v>96</v>
      </c>
      <c r="G992" s="147">
        <f>68+39</f>
        <v>107</v>
      </c>
      <c r="H992" s="146"/>
    </row>
    <row r="993" spans="2:10" x14ac:dyDescent="0.2">
      <c r="B993" s="137">
        <f t="shared" si="15"/>
        <v>39</v>
      </c>
      <c r="C993" s="167" t="str">
        <f>TEXT(Таблица8[[#This Row],[Дата]],"М")</f>
        <v>9</v>
      </c>
      <c r="D993" s="139">
        <v>44823</v>
      </c>
      <c r="E993" s="137" t="s">
        <v>19</v>
      </c>
      <c r="F993" s="137" t="s">
        <v>116</v>
      </c>
      <c r="G993" s="140">
        <f>224+140</f>
        <v>364</v>
      </c>
      <c r="H993" s="141"/>
    </row>
    <row r="994" spans="2:10" x14ac:dyDescent="0.2">
      <c r="B994" s="143">
        <f t="shared" si="15"/>
        <v>39</v>
      </c>
      <c r="C994" s="138" t="str">
        <f>TEXT(Таблица8[[#This Row],[Дата]],"М")</f>
        <v>9</v>
      </c>
      <c r="D994" s="144">
        <v>44823</v>
      </c>
      <c r="E994" s="143" t="s">
        <v>23</v>
      </c>
      <c r="F994" s="143" t="s">
        <v>103</v>
      </c>
      <c r="G994" s="147">
        <v>700</v>
      </c>
      <c r="H994" s="146"/>
    </row>
    <row r="995" spans="2:10" x14ac:dyDescent="0.2">
      <c r="B995" s="137">
        <f t="shared" si="15"/>
        <v>39</v>
      </c>
      <c r="C995" s="167" t="str">
        <f>TEXT(Таблица8[[#This Row],[Дата]],"М")</f>
        <v>9</v>
      </c>
      <c r="D995" s="139">
        <v>44824</v>
      </c>
      <c r="E995" s="137" t="s">
        <v>71</v>
      </c>
      <c r="F995" s="137" t="s">
        <v>91</v>
      </c>
      <c r="G995" s="140">
        <f>20+519</f>
        <v>539</v>
      </c>
      <c r="H995" s="141"/>
    </row>
    <row r="996" spans="2:10" x14ac:dyDescent="0.2">
      <c r="B996" s="143">
        <f t="shared" si="15"/>
        <v>39</v>
      </c>
      <c r="C996" s="138" t="str">
        <f>TEXT(Таблица8[[#This Row],[Дата]],"М")</f>
        <v>9</v>
      </c>
      <c r="D996" s="144">
        <v>44824</v>
      </c>
      <c r="E996" s="143" t="s">
        <v>71</v>
      </c>
      <c r="F996" s="143" t="s">
        <v>108</v>
      </c>
      <c r="G996" s="147">
        <v>309</v>
      </c>
      <c r="H996" s="146"/>
    </row>
    <row r="997" spans="2:10" x14ac:dyDescent="0.2">
      <c r="B997" s="143">
        <f t="shared" si="15"/>
        <v>39</v>
      </c>
      <c r="C997" s="138" t="str">
        <f>TEXT(Таблица8[[#This Row],[Дата]],"М")</f>
        <v>9</v>
      </c>
      <c r="D997" s="144">
        <v>44824</v>
      </c>
      <c r="E997" s="143" t="s">
        <v>20</v>
      </c>
      <c r="F997" s="143" t="s">
        <v>95</v>
      </c>
      <c r="G997" s="147">
        <f>200+19</f>
        <v>219</v>
      </c>
      <c r="H997" s="146"/>
    </row>
    <row r="998" spans="2:10" x14ac:dyDescent="0.2">
      <c r="B998" s="143">
        <f t="shared" si="15"/>
        <v>39</v>
      </c>
      <c r="C998" s="138" t="str">
        <f>TEXT(Таблица8[[#This Row],[Дата]],"М")</f>
        <v>9</v>
      </c>
      <c r="D998" s="144">
        <v>44824</v>
      </c>
      <c r="E998" s="143" t="s">
        <v>30</v>
      </c>
      <c r="F998" s="143" t="s">
        <v>31</v>
      </c>
      <c r="G998" s="147">
        <v>2550</v>
      </c>
      <c r="H998" s="146"/>
    </row>
    <row r="999" spans="2:10" x14ac:dyDescent="0.2">
      <c r="B999" s="137">
        <f t="shared" si="15"/>
        <v>39</v>
      </c>
      <c r="C999" s="167" t="str">
        <f>TEXT(Таблица8[[#This Row],[Дата]],"М")</f>
        <v>9</v>
      </c>
      <c r="D999" s="139">
        <v>44825</v>
      </c>
      <c r="E999" s="137" t="s">
        <v>30</v>
      </c>
      <c r="F999" s="137" t="s">
        <v>31</v>
      </c>
      <c r="G999" s="140">
        <v>780</v>
      </c>
      <c r="H999" s="141"/>
    </row>
    <row r="1000" spans="2:10" x14ac:dyDescent="0.2">
      <c r="B1000" s="143">
        <f t="shared" si="15"/>
        <v>39</v>
      </c>
      <c r="C1000" s="138" t="str">
        <f>TEXT(Таблица8[[#This Row],[Дата]],"М")</f>
        <v>9</v>
      </c>
      <c r="D1000" s="144">
        <v>44825</v>
      </c>
      <c r="E1000" s="143" t="s">
        <v>20</v>
      </c>
      <c r="F1000" s="143" t="s">
        <v>95</v>
      </c>
      <c r="G1000" s="147">
        <f>89+70+250+40</f>
        <v>449</v>
      </c>
      <c r="H1000" s="146"/>
    </row>
    <row r="1001" spans="2:10" x14ac:dyDescent="0.2">
      <c r="B1001" s="143">
        <f t="shared" si="15"/>
        <v>39</v>
      </c>
      <c r="C1001" s="138" t="str">
        <f>TEXT(Таблица8[[#This Row],[Дата]],"М")</f>
        <v>9</v>
      </c>
      <c r="D1001" s="144">
        <v>44825</v>
      </c>
      <c r="E1001" s="143" t="s">
        <v>71</v>
      </c>
      <c r="F1001" s="143" t="s">
        <v>94</v>
      </c>
      <c r="G1001" s="147">
        <f>124+60+60</f>
        <v>244</v>
      </c>
      <c r="H1001" s="146"/>
    </row>
    <row r="1002" spans="2:10" x14ac:dyDescent="0.2">
      <c r="B1002" s="143">
        <f t="shared" si="15"/>
        <v>39</v>
      </c>
      <c r="C1002" s="138" t="str">
        <f>TEXT(Таблица8[[#This Row],[Дата]],"М")</f>
        <v>9</v>
      </c>
      <c r="D1002" s="144">
        <v>44825</v>
      </c>
      <c r="E1002" s="143" t="s">
        <v>30</v>
      </c>
      <c r="F1002" s="143" t="s">
        <v>31</v>
      </c>
      <c r="G1002" s="147">
        <v>600</v>
      </c>
      <c r="H1002" s="146"/>
    </row>
    <row r="1003" spans="2:10" x14ac:dyDescent="0.2">
      <c r="B1003" s="143">
        <f t="shared" si="15"/>
        <v>39</v>
      </c>
      <c r="C1003" s="138" t="str">
        <f>TEXT(Таблица8[[#This Row],[Дата]],"М")</f>
        <v>9</v>
      </c>
      <c r="D1003" s="144">
        <v>44825</v>
      </c>
      <c r="E1003" s="143" t="s">
        <v>20</v>
      </c>
      <c r="F1003" s="143" t="s">
        <v>125</v>
      </c>
      <c r="G1003" s="147">
        <v>259</v>
      </c>
      <c r="H1003" s="146"/>
    </row>
    <row r="1004" spans="2:10" x14ac:dyDescent="0.2">
      <c r="B1004" s="137">
        <f t="shared" si="15"/>
        <v>39</v>
      </c>
      <c r="C1004" s="167" t="str">
        <f>TEXT(Таблица8[[#This Row],[Дата]],"М")</f>
        <v>9</v>
      </c>
      <c r="D1004" s="139">
        <v>44826</v>
      </c>
      <c r="E1004" s="137" t="s">
        <v>71</v>
      </c>
      <c r="F1004" s="137" t="s">
        <v>94</v>
      </c>
      <c r="G1004" s="140">
        <f>60+44</f>
        <v>104</v>
      </c>
      <c r="H1004" s="141"/>
    </row>
    <row r="1005" spans="2:10" x14ac:dyDescent="0.2">
      <c r="B1005" s="143">
        <f t="shared" si="15"/>
        <v>39</v>
      </c>
      <c r="C1005" s="138" t="str">
        <f>TEXT(Таблица8[[#This Row],[Дата]],"М")</f>
        <v>9</v>
      </c>
      <c r="D1005" s="144">
        <v>44826</v>
      </c>
      <c r="E1005" s="143" t="s">
        <v>20</v>
      </c>
      <c r="F1005" s="143" t="s">
        <v>97</v>
      </c>
      <c r="G1005" s="147">
        <v>420</v>
      </c>
      <c r="H1005" s="146"/>
    </row>
    <row r="1006" spans="2:10" x14ac:dyDescent="0.2">
      <c r="B1006" s="143">
        <f t="shared" si="15"/>
        <v>39</v>
      </c>
      <c r="C1006" s="138" t="str">
        <f>TEXT(Таблица8[[#This Row],[Дата]],"М")</f>
        <v>9</v>
      </c>
      <c r="D1006" s="144">
        <v>44826</v>
      </c>
      <c r="E1006" s="143" t="s">
        <v>71</v>
      </c>
      <c r="F1006" s="143" t="s">
        <v>94</v>
      </c>
      <c r="G1006" s="147">
        <v>64</v>
      </c>
      <c r="H1006" s="146"/>
    </row>
    <row r="1007" spans="2:10" x14ac:dyDescent="0.2">
      <c r="B1007" s="143">
        <f t="shared" si="15"/>
        <v>39</v>
      </c>
      <c r="C1007" s="138" t="str">
        <f>TEXT(Таблица8[[#This Row],[Дата]],"М")</f>
        <v>9</v>
      </c>
      <c r="D1007" s="144">
        <v>44826</v>
      </c>
      <c r="E1007" s="143" t="s">
        <v>20</v>
      </c>
      <c r="F1007" s="143" t="s">
        <v>99</v>
      </c>
      <c r="G1007" s="147">
        <v>74</v>
      </c>
      <c r="H1007" s="146"/>
      <c r="I1007" s="142"/>
      <c r="J1007" s="142"/>
    </row>
    <row r="1008" spans="2:10" x14ac:dyDescent="0.2">
      <c r="B1008" s="143">
        <f t="shared" si="15"/>
        <v>39</v>
      </c>
      <c r="C1008" s="138" t="str">
        <f>TEXT(Таблица8[[#This Row],[Дата]],"М")</f>
        <v>9</v>
      </c>
      <c r="D1008" s="144">
        <v>44826</v>
      </c>
      <c r="E1008" s="143" t="s">
        <v>19</v>
      </c>
      <c r="F1008" s="143" t="s">
        <v>96</v>
      </c>
      <c r="G1008" s="147">
        <v>142</v>
      </c>
      <c r="H1008" s="146"/>
      <c r="I1008" s="142"/>
      <c r="J1008" s="142"/>
    </row>
    <row r="1009" spans="2:10" x14ac:dyDescent="0.2">
      <c r="B1009" s="137">
        <f t="shared" si="15"/>
        <v>39</v>
      </c>
      <c r="C1009" s="167" t="str">
        <f>TEXT(Таблица8[[#This Row],[Дата]],"М")</f>
        <v>9</v>
      </c>
      <c r="D1009" s="139">
        <v>44827</v>
      </c>
      <c r="E1009" s="137" t="s">
        <v>71</v>
      </c>
      <c r="F1009" s="137" t="s">
        <v>94</v>
      </c>
      <c r="G1009" s="140">
        <v>64</v>
      </c>
      <c r="H1009" s="141"/>
      <c r="I1009" s="142"/>
      <c r="J1009" s="142"/>
    </row>
    <row r="1010" spans="2:10" x14ac:dyDescent="0.2">
      <c r="B1010" s="143">
        <f t="shared" si="15"/>
        <v>39</v>
      </c>
      <c r="C1010" s="138" t="str">
        <f>TEXT(Таблица8[[#This Row],[Дата]],"М")</f>
        <v>9</v>
      </c>
      <c r="D1010" s="144">
        <v>44827</v>
      </c>
      <c r="E1010" s="143" t="s">
        <v>29</v>
      </c>
      <c r="F1010" s="143" t="s">
        <v>107</v>
      </c>
      <c r="G1010" s="147">
        <v>300</v>
      </c>
      <c r="H1010" s="146"/>
      <c r="I1010" s="142"/>
      <c r="J1010" s="142"/>
    </row>
    <row r="1011" spans="2:10" x14ac:dyDescent="0.2">
      <c r="B1011" s="143">
        <f t="shared" si="15"/>
        <v>39</v>
      </c>
      <c r="C1011" s="138" t="str">
        <f>TEXT(Таблица8[[#This Row],[Дата]],"М")</f>
        <v>9</v>
      </c>
      <c r="D1011" s="144">
        <v>44827</v>
      </c>
      <c r="E1011" s="143" t="s">
        <v>20</v>
      </c>
      <c r="F1011" s="143" t="s">
        <v>99</v>
      </c>
      <c r="G1011" s="147">
        <v>101</v>
      </c>
      <c r="H1011" s="146"/>
      <c r="I1011" s="142"/>
      <c r="J1011" s="142"/>
    </row>
    <row r="1012" spans="2:10" x14ac:dyDescent="0.2">
      <c r="B1012" s="143">
        <f t="shared" ref="B1012:B1075" si="16">WEEKNUM(D1012)</f>
        <v>39</v>
      </c>
      <c r="C1012" s="138" t="str">
        <f>TEXT(Таблица8[[#This Row],[Дата]],"М")</f>
        <v>9</v>
      </c>
      <c r="D1012" s="144">
        <v>44827</v>
      </c>
      <c r="E1012" s="143" t="s">
        <v>19</v>
      </c>
      <c r="F1012" s="143" t="s">
        <v>96</v>
      </c>
      <c r="G1012" s="147">
        <v>85</v>
      </c>
      <c r="H1012" s="146"/>
      <c r="I1012" s="142"/>
      <c r="J1012" s="142"/>
    </row>
    <row r="1013" spans="2:10" x14ac:dyDescent="0.2">
      <c r="B1013" s="137">
        <f t="shared" si="16"/>
        <v>39</v>
      </c>
      <c r="C1013" s="167" t="str">
        <f>TEXT(Таблица8[[#This Row],[Дата]],"М")</f>
        <v>9</v>
      </c>
      <c r="D1013" s="139">
        <v>44828</v>
      </c>
      <c r="E1013" s="137" t="s">
        <v>71</v>
      </c>
      <c r="F1013" s="137" t="s">
        <v>94</v>
      </c>
      <c r="G1013" s="140">
        <v>64</v>
      </c>
      <c r="H1013" s="141"/>
    </row>
    <row r="1014" spans="2:10" x14ac:dyDescent="0.2">
      <c r="B1014" s="143">
        <f t="shared" si="16"/>
        <v>39</v>
      </c>
      <c r="C1014" s="138" t="str">
        <f>TEXT(Таблица8[[#This Row],[Дата]],"М")</f>
        <v>9</v>
      </c>
      <c r="D1014" s="144">
        <v>44828</v>
      </c>
      <c r="E1014" s="143" t="s">
        <v>20</v>
      </c>
      <c r="F1014" s="143" t="s">
        <v>99</v>
      </c>
      <c r="G1014" s="147">
        <f>54+42</f>
        <v>96</v>
      </c>
      <c r="H1014" s="146"/>
    </row>
    <row r="1015" spans="2:10" x14ac:dyDescent="0.2">
      <c r="B1015" s="143">
        <f t="shared" si="16"/>
        <v>39</v>
      </c>
      <c r="C1015" s="138" t="str">
        <f>TEXT(Таблица8[[#This Row],[Дата]],"М")</f>
        <v>9</v>
      </c>
      <c r="D1015" s="144">
        <v>44828</v>
      </c>
      <c r="E1015" s="143" t="s">
        <v>19</v>
      </c>
      <c r="F1015" s="143" t="s">
        <v>96</v>
      </c>
      <c r="G1015" s="147">
        <v>90</v>
      </c>
      <c r="H1015" s="146"/>
    </row>
    <row r="1016" spans="2:10" x14ac:dyDescent="0.2">
      <c r="B1016" s="137">
        <f t="shared" si="16"/>
        <v>40</v>
      </c>
      <c r="C1016" s="167" t="str">
        <f>TEXT(Таблица8[[#This Row],[Дата]],"М")</f>
        <v>9</v>
      </c>
      <c r="D1016" s="139">
        <v>44829</v>
      </c>
      <c r="E1016" s="137" t="s">
        <v>19</v>
      </c>
      <c r="F1016" s="137" t="s">
        <v>96</v>
      </c>
      <c r="G1016" s="140">
        <v>236</v>
      </c>
      <c r="H1016" s="141"/>
    </row>
    <row r="1017" spans="2:10" x14ac:dyDescent="0.2">
      <c r="B1017" s="137">
        <f t="shared" si="16"/>
        <v>40</v>
      </c>
      <c r="C1017" s="167" t="str">
        <f>TEXT(Таблица8[[#This Row],[Дата]],"М")</f>
        <v>9</v>
      </c>
      <c r="D1017" s="139">
        <v>44830</v>
      </c>
      <c r="E1017" s="137" t="s">
        <v>23</v>
      </c>
      <c r="F1017" s="137" t="s">
        <v>103</v>
      </c>
      <c r="G1017" s="140">
        <v>410</v>
      </c>
      <c r="H1017" s="141"/>
    </row>
    <row r="1018" spans="2:10" x14ac:dyDescent="0.2">
      <c r="B1018" s="143">
        <f t="shared" si="16"/>
        <v>40</v>
      </c>
      <c r="C1018" s="138" t="str">
        <f>TEXT(Таблица8[[#This Row],[Дата]],"М")</f>
        <v>9</v>
      </c>
      <c r="D1018" s="144">
        <v>44830</v>
      </c>
      <c r="E1018" s="143" t="s">
        <v>22</v>
      </c>
      <c r="F1018" s="143" t="s">
        <v>38</v>
      </c>
      <c r="G1018" s="147">
        <v>264</v>
      </c>
      <c r="H1018" s="146"/>
    </row>
    <row r="1019" spans="2:10" x14ac:dyDescent="0.2">
      <c r="B1019" s="137">
        <f t="shared" si="16"/>
        <v>40</v>
      </c>
      <c r="C1019" s="167" t="str">
        <f>TEXT(Таблица8[[#This Row],[Дата]],"М")</f>
        <v>9</v>
      </c>
      <c r="D1019" s="139">
        <v>44831</v>
      </c>
      <c r="E1019" s="137" t="s">
        <v>71</v>
      </c>
      <c r="F1019" s="137" t="s">
        <v>94</v>
      </c>
      <c r="G1019" s="140">
        <v>32</v>
      </c>
      <c r="H1019" s="141"/>
    </row>
    <row r="1020" spans="2:10" x14ac:dyDescent="0.2">
      <c r="B1020" s="143">
        <f t="shared" si="16"/>
        <v>40</v>
      </c>
      <c r="C1020" s="138" t="str">
        <f>TEXT(Таблица8[[#This Row],[Дата]],"М")</f>
        <v>9</v>
      </c>
      <c r="D1020" s="144">
        <v>44831</v>
      </c>
      <c r="E1020" s="143" t="s">
        <v>72</v>
      </c>
      <c r="F1020" s="143" t="s">
        <v>132</v>
      </c>
      <c r="G1020" s="147">
        <v>600</v>
      </c>
      <c r="H1020" s="146"/>
    </row>
    <row r="1021" spans="2:10" x14ac:dyDescent="0.2">
      <c r="B1021" s="143">
        <f t="shared" si="16"/>
        <v>40</v>
      </c>
      <c r="C1021" s="138" t="str">
        <f>TEXT(Таблица8[[#This Row],[Дата]],"М")</f>
        <v>9</v>
      </c>
      <c r="D1021" s="144">
        <v>44831</v>
      </c>
      <c r="E1021" s="143" t="s">
        <v>72</v>
      </c>
      <c r="F1021" s="143" t="s">
        <v>132</v>
      </c>
      <c r="G1021" s="147">
        <v>1270</v>
      </c>
      <c r="H1021" s="146" t="s">
        <v>133</v>
      </c>
    </row>
    <row r="1022" spans="2:10" x14ac:dyDescent="0.2">
      <c r="B1022" s="143">
        <f t="shared" si="16"/>
        <v>40</v>
      </c>
      <c r="C1022" s="138" t="str">
        <f>TEXT(Таблица8[[#This Row],[Дата]],"М")</f>
        <v>9</v>
      </c>
      <c r="D1022" s="144">
        <v>44831</v>
      </c>
      <c r="E1022" s="143" t="s">
        <v>72</v>
      </c>
      <c r="F1022" s="143" t="s">
        <v>124</v>
      </c>
      <c r="G1022" s="147">
        <f>250+87</f>
        <v>337</v>
      </c>
      <c r="H1022" s="146"/>
    </row>
    <row r="1023" spans="2:10" x14ac:dyDescent="0.2">
      <c r="B1023" s="143">
        <f t="shared" si="16"/>
        <v>40</v>
      </c>
      <c r="C1023" s="138" t="str">
        <f>TEXT(Таблица8[[#This Row],[Дата]],"М")</f>
        <v>9</v>
      </c>
      <c r="D1023" s="144">
        <v>44831</v>
      </c>
      <c r="E1023" s="143" t="s">
        <v>72</v>
      </c>
      <c r="F1023" s="143" t="s">
        <v>44</v>
      </c>
      <c r="G1023" s="147">
        <v>300</v>
      </c>
      <c r="H1023" s="146"/>
    </row>
    <row r="1024" spans="2:10" x14ac:dyDescent="0.2">
      <c r="B1024" s="143">
        <f t="shared" si="16"/>
        <v>40</v>
      </c>
      <c r="C1024" s="138" t="str">
        <f>TEXT(Таблица8[[#This Row],[Дата]],"М")</f>
        <v>9</v>
      </c>
      <c r="D1024" s="144">
        <v>44831</v>
      </c>
      <c r="E1024" s="143" t="s">
        <v>72</v>
      </c>
      <c r="F1024" s="143" t="s">
        <v>40</v>
      </c>
      <c r="G1024" s="147">
        <v>700</v>
      </c>
      <c r="H1024" s="146"/>
    </row>
    <row r="1025" spans="2:8" x14ac:dyDescent="0.2">
      <c r="B1025" s="143">
        <f t="shared" si="16"/>
        <v>40</v>
      </c>
      <c r="C1025" s="138" t="str">
        <f>TEXT(Таблица8[[#This Row],[Дата]],"М")</f>
        <v>9</v>
      </c>
      <c r="D1025" s="144">
        <v>44831</v>
      </c>
      <c r="E1025" s="143" t="s">
        <v>72</v>
      </c>
      <c r="F1025" s="143" t="s">
        <v>38</v>
      </c>
      <c r="G1025" s="147">
        <v>200</v>
      </c>
      <c r="H1025" s="146"/>
    </row>
    <row r="1026" spans="2:8" x14ac:dyDescent="0.2">
      <c r="B1026" s="143">
        <f t="shared" si="16"/>
        <v>40</v>
      </c>
      <c r="C1026" s="138" t="str">
        <f>TEXT(Таблица8[[#This Row],[Дата]],"М")</f>
        <v>9</v>
      </c>
      <c r="D1026" s="144">
        <v>44831</v>
      </c>
      <c r="E1026" s="143" t="s">
        <v>23</v>
      </c>
      <c r="F1026" s="143" t="s">
        <v>129</v>
      </c>
      <c r="G1026" s="147">
        <v>1900</v>
      </c>
      <c r="H1026" s="146"/>
    </row>
    <row r="1027" spans="2:8" x14ac:dyDescent="0.2">
      <c r="B1027" s="143">
        <f t="shared" si="16"/>
        <v>40</v>
      </c>
      <c r="C1027" s="138" t="str">
        <f>TEXT(Таблица8[[#This Row],[Дата]],"М")</f>
        <v>9</v>
      </c>
      <c r="D1027" s="144">
        <v>44831</v>
      </c>
      <c r="E1027" s="143" t="s">
        <v>23</v>
      </c>
      <c r="F1027" s="143" t="s">
        <v>111</v>
      </c>
      <c r="G1027" s="147">
        <v>1109</v>
      </c>
      <c r="H1027" s="146"/>
    </row>
    <row r="1028" spans="2:8" x14ac:dyDescent="0.2">
      <c r="B1028" s="143">
        <f t="shared" si="16"/>
        <v>40</v>
      </c>
      <c r="C1028" s="138" t="str">
        <f>TEXT(Таблица8[[#This Row],[Дата]],"М")</f>
        <v>9</v>
      </c>
      <c r="D1028" s="144">
        <v>44831</v>
      </c>
      <c r="E1028" s="143" t="s">
        <v>23</v>
      </c>
      <c r="F1028" s="143" t="s">
        <v>103</v>
      </c>
      <c r="G1028" s="147">
        <v>175</v>
      </c>
      <c r="H1028" s="146"/>
    </row>
    <row r="1029" spans="2:8" x14ac:dyDescent="0.2">
      <c r="B1029" s="143">
        <f t="shared" si="16"/>
        <v>40</v>
      </c>
      <c r="C1029" s="138" t="str">
        <f>TEXT(Таблица8[[#This Row],[Дата]],"М")</f>
        <v>9</v>
      </c>
      <c r="D1029" s="144">
        <v>44831</v>
      </c>
      <c r="E1029" s="143" t="s">
        <v>20</v>
      </c>
      <c r="F1029" s="143" t="s">
        <v>136</v>
      </c>
      <c r="G1029" s="147">
        <v>598</v>
      </c>
      <c r="H1029" s="146"/>
    </row>
    <row r="1030" spans="2:8" x14ac:dyDescent="0.2">
      <c r="B1030" s="143">
        <f t="shared" si="16"/>
        <v>40</v>
      </c>
      <c r="C1030" s="138" t="str">
        <f>TEXT(Таблица8[[#This Row],[Дата]],"М")</f>
        <v>9</v>
      </c>
      <c r="D1030" s="144">
        <v>44831</v>
      </c>
      <c r="E1030" s="143" t="s">
        <v>19</v>
      </c>
      <c r="F1030" s="143" t="s">
        <v>96</v>
      </c>
      <c r="G1030" s="147">
        <v>90</v>
      </c>
      <c r="H1030" s="146"/>
    </row>
    <row r="1031" spans="2:8" x14ac:dyDescent="0.2">
      <c r="B1031" s="137">
        <f t="shared" si="16"/>
        <v>40</v>
      </c>
      <c r="C1031" s="167" t="str">
        <f>TEXT(Таблица8[[#This Row],[Дата]],"М")</f>
        <v>9</v>
      </c>
      <c r="D1031" s="139">
        <v>44832</v>
      </c>
      <c r="E1031" s="137" t="s">
        <v>71</v>
      </c>
      <c r="F1031" s="137" t="s">
        <v>94</v>
      </c>
      <c r="G1031" s="140">
        <v>64</v>
      </c>
      <c r="H1031" s="141"/>
    </row>
    <row r="1032" spans="2:8" x14ac:dyDescent="0.2">
      <c r="B1032" s="143">
        <f t="shared" si="16"/>
        <v>40</v>
      </c>
      <c r="C1032" s="138" t="str">
        <f>TEXT(Таблица8[[#This Row],[Дата]],"М")</f>
        <v>9</v>
      </c>
      <c r="D1032" s="144">
        <v>44832</v>
      </c>
      <c r="E1032" s="143" t="s">
        <v>20</v>
      </c>
      <c r="F1032" s="143" t="s">
        <v>99</v>
      </c>
      <c r="G1032" s="147">
        <f>262+39</f>
        <v>301</v>
      </c>
      <c r="H1032" s="146"/>
    </row>
    <row r="1033" spans="2:8" x14ac:dyDescent="0.2">
      <c r="B1033" s="143">
        <f t="shared" si="16"/>
        <v>40</v>
      </c>
      <c r="C1033" s="138" t="str">
        <f>TEXT(Таблица8[[#This Row],[Дата]],"М")</f>
        <v>9</v>
      </c>
      <c r="D1033" s="144">
        <v>44832</v>
      </c>
      <c r="E1033" s="143" t="s">
        <v>19</v>
      </c>
      <c r="F1033" s="143" t="s">
        <v>96</v>
      </c>
      <c r="G1033" s="147">
        <v>478</v>
      </c>
      <c r="H1033" s="146"/>
    </row>
    <row r="1034" spans="2:8" x14ac:dyDescent="0.2">
      <c r="B1034" s="137">
        <f t="shared" si="16"/>
        <v>40</v>
      </c>
      <c r="C1034" s="167" t="str">
        <f>TEXT(Таблица8[[#This Row],[Дата]],"М")</f>
        <v>9</v>
      </c>
      <c r="D1034" s="139">
        <v>44833</v>
      </c>
      <c r="E1034" s="137" t="s">
        <v>71</v>
      </c>
      <c r="F1034" s="137" t="s">
        <v>94</v>
      </c>
      <c r="G1034" s="140">
        <v>64</v>
      </c>
      <c r="H1034" s="141"/>
    </row>
    <row r="1035" spans="2:8" x14ac:dyDescent="0.2">
      <c r="B1035" s="143">
        <f t="shared" si="16"/>
        <v>40</v>
      </c>
      <c r="C1035" s="138" t="str">
        <f>TEXT(Таблица8[[#This Row],[Дата]],"М")</f>
        <v>9</v>
      </c>
      <c r="D1035" s="144">
        <v>44833</v>
      </c>
      <c r="E1035" s="143" t="s">
        <v>20</v>
      </c>
      <c r="F1035" s="143" t="s">
        <v>99</v>
      </c>
      <c r="G1035" s="147">
        <v>303</v>
      </c>
      <c r="H1035" s="146"/>
    </row>
    <row r="1036" spans="2:8" x14ac:dyDescent="0.2">
      <c r="B1036" s="143">
        <f t="shared" si="16"/>
        <v>40</v>
      </c>
      <c r="C1036" s="138" t="str">
        <f>TEXT(Таблица8[[#This Row],[Дата]],"М")</f>
        <v>9</v>
      </c>
      <c r="D1036" s="144">
        <v>44833</v>
      </c>
      <c r="E1036" s="143" t="s">
        <v>19</v>
      </c>
      <c r="F1036" s="143" t="s">
        <v>96</v>
      </c>
      <c r="G1036" s="147">
        <v>63</v>
      </c>
      <c r="H1036" s="146"/>
    </row>
    <row r="1037" spans="2:8" x14ac:dyDescent="0.2">
      <c r="B1037" s="137">
        <f t="shared" si="16"/>
        <v>40</v>
      </c>
      <c r="C1037" s="167" t="str">
        <f>TEXT(Таблица8[[#This Row],[Дата]],"М")</f>
        <v>9</v>
      </c>
      <c r="D1037" s="139">
        <v>44834</v>
      </c>
      <c r="E1037" s="137" t="s">
        <v>71</v>
      </c>
      <c r="F1037" s="137" t="s">
        <v>94</v>
      </c>
      <c r="G1037" s="140">
        <v>32</v>
      </c>
      <c r="H1037" s="141"/>
    </row>
    <row r="1038" spans="2:8" x14ac:dyDescent="0.2">
      <c r="B1038" s="143">
        <f t="shared" si="16"/>
        <v>40</v>
      </c>
      <c r="C1038" s="138" t="str">
        <f>TEXT(Таблица8[[#This Row],[Дата]],"М")</f>
        <v>9</v>
      </c>
      <c r="D1038" s="144">
        <v>44834</v>
      </c>
      <c r="E1038" s="143" t="s">
        <v>20</v>
      </c>
      <c r="F1038" s="143" t="s">
        <v>99</v>
      </c>
      <c r="G1038" s="147">
        <f>238+85</f>
        <v>323</v>
      </c>
      <c r="H1038" s="146"/>
    </row>
    <row r="1039" spans="2:8" x14ac:dyDescent="0.2">
      <c r="B1039" s="143">
        <f t="shared" si="16"/>
        <v>40</v>
      </c>
      <c r="C1039" s="138" t="str">
        <f>TEXT(Таблица8[[#This Row],[Дата]],"М")</f>
        <v>9</v>
      </c>
      <c r="D1039" s="144">
        <v>44834</v>
      </c>
      <c r="E1039" s="143" t="s">
        <v>22</v>
      </c>
      <c r="F1039" s="143" t="s">
        <v>38</v>
      </c>
      <c r="G1039" s="147">
        <v>500</v>
      </c>
      <c r="H1039" s="146"/>
    </row>
    <row r="1040" spans="2:8" x14ac:dyDescent="0.2">
      <c r="B1040" s="143">
        <f t="shared" si="16"/>
        <v>40</v>
      </c>
      <c r="C1040" s="138" t="str">
        <f>TEXT(Таблица8[[#This Row],[Дата]],"М")</f>
        <v>9</v>
      </c>
      <c r="D1040" s="144">
        <v>44834</v>
      </c>
      <c r="E1040" s="143" t="s">
        <v>19</v>
      </c>
      <c r="F1040" s="143" t="s">
        <v>96</v>
      </c>
      <c r="G1040" s="147">
        <f>100+239</f>
        <v>339</v>
      </c>
      <c r="H1040" s="146"/>
    </row>
    <row r="1041" spans="2:8" x14ac:dyDescent="0.2">
      <c r="B1041" s="143">
        <f t="shared" si="16"/>
        <v>40</v>
      </c>
      <c r="C1041" s="138" t="str">
        <f>TEXT(Таблица8[[#This Row],[Дата]],"М")</f>
        <v>9</v>
      </c>
      <c r="D1041" s="144">
        <v>44834</v>
      </c>
      <c r="E1041" s="143" t="s">
        <v>72</v>
      </c>
      <c r="F1041" s="143" t="s">
        <v>124</v>
      </c>
      <c r="G1041" s="147">
        <v>200</v>
      </c>
      <c r="H1041" s="146"/>
    </row>
    <row r="1042" spans="2:8" x14ac:dyDescent="0.2">
      <c r="B1042" s="143">
        <f t="shared" si="16"/>
        <v>40</v>
      </c>
      <c r="C1042" s="138" t="str">
        <f>TEXT(Таблица8[[#This Row],[Дата]],"М")</f>
        <v>9</v>
      </c>
      <c r="D1042" s="144">
        <v>44834</v>
      </c>
      <c r="E1042" s="143" t="s">
        <v>72</v>
      </c>
      <c r="F1042" s="143" t="s">
        <v>44</v>
      </c>
      <c r="G1042" s="147">
        <v>400</v>
      </c>
      <c r="H1042" s="146"/>
    </row>
    <row r="1043" spans="2:8" x14ac:dyDescent="0.2">
      <c r="B1043" s="143">
        <f t="shared" si="16"/>
        <v>40</v>
      </c>
      <c r="C1043" s="138" t="str">
        <f>TEXT(Таблица8[[#This Row],[Дата]],"М")</f>
        <v>9</v>
      </c>
      <c r="D1043" s="144">
        <v>44834</v>
      </c>
      <c r="E1043" s="143" t="s">
        <v>72</v>
      </c>
      <c r="F1043" s="143" t="s">
        <v>40</v>
      </c>
      <c r="G1043" s="147">
        <v>700</v>
      </c>
      <c r="H1043" s="146"/>
    </row>
    <row r="1044" spans="2:8" x14ac:dyDescent="0.2">
      <c r="B1044" s="143">
        <f t="shared" si="16"/>
        <v>40</v>
      </c>
      <c r="C1044" s="138" t="str">
        <f>TEXT(Таблица8[[#This Row],[Дата]],"М")</f>
        <v>9</v>
      </c>
      <c r="D1044" s="144">
        <v>44834</v>
      </c>
      <c r="E1044" s="143" t="s">
        <v>72</v>
      </c>
      <c r="F1044" s="143" t="s">
        <v>38</v>
      </c>
      <c r="G1044" s="147">
        <v>200</v>
      </c>
      <c r="H1044" s="146"/>
    </row>
    <row r="1045" spans="2:8" x14ac:dyDescent="0.2">
      <c r="B1045" s="143">
        <f t="shared" si="16"/>
        <v>40</v>
      </c>
      <c r="C1045" s="138" t="str">
        <f>TEXT(Таблица8[[#This Row],[Дата]],"М")</f>
        <v>9</v>
      </c>
      <c r="D1045" s="144">
        <v>44834</v>
      </c>
      <c r="E1045" s="143" t="s">
        <v>72</v>
      </c>
      <c r="F1045" s="143" t="s">
        <v>132</v>
      </c>
      <c r="G1045" s="147">
        <v>600</v>
      </c>
      <c r="H1045" s="146"/>
    </row>
    <row r="1046" spans="2:8" x14ac:dyDescent="0.2">
      <c r="B1046" s="137">
        <f t="shared" si="16"/>
        <v>40</v>
      </c>
      <c r="C1046" s="167" t="str">
        <f>TEXT(Таблица8[[#This Row],[Дата]],"М")</f>
        <v>10</v>
      </c>
      <c r="D1046" s="139">
        <v>44835</v>
      </c>
      <c r="E1046" s="137" t="s">
        <v>72</v>
      </c>
      <c r="F1046" s="137" t="s">
        <v>132</v>
      </c>
      <c r="G1046" s="140">
        <v>100</v>
      </c>
      <c r="H1046" s="141"/>
    </row>
    <row r="1047" spans="2:8" x14ac:dyDescent="0.2">
      <c r="B1047" s="143">
        <f t="shared" si="16"/>
        <v>40</v>
      </c>
      <c r="C1047" s="138" t="str">
        <f>TEXT(Таблица8[[#This Row],[Дата]],"М")</f>
        <v>10</v>
      </c>
      <c r="D1047" s="144">
        <v>44835</v>
      </c>
      <c r="E1047" s="143" t="s">
        <v>29</v>
      </c>
      <c r="F1047" s="143" t="s">
        <v>105</v>
      </c>
      <c r="G1047" s="147">
        <v>300</v>
      </c>
      <c r="H1047" s="146"/>
    </row>
    <row r="1048" spans="2:8" x14ac:dyDescent="0.2">
      <c r="B1048" s="143">
        <f t="shared" si="16"/>
        <v>40</v>
      </c>
      <c r="C1048" s="138" t="str">
        <f>TEXT(Таблица8[[#This Row],[Дата]],"М")</f>
        <v>10</v>
      </c>
      <c r="D1048" s="144">
        <v>44835</v>
      </c>
      <c r="E1048" s="143" t="s">
        <v>71</v>
      </c>
      <c r="F1048" s="143" t="s">
        <v>94</v>
      </c>
      <c r="G1048" s="147">
        <v>64</v>
      </c>
      <c r="H1048" s="146"/>
    </row>
    <row r="1049" spans="2:8" x14ac:dyDescent="0.2">
      <c r="B1049" s="143">
        <f t="shared" si="16"/>
        <v>40</v>
      </c>
      <c r="C1049" s="138" t="str">
        <f>TEXT(Таблица8[[#This Row],[Дата]],"М")</f>
        <v>10</v>
      </c>
      <c r="D1049" s="144">
        <v>44835</v>
      </c>
      <c r="E1049" s="143" t="s">
        <v>20</v>
      </c>
      <c r="F1049" s="143" t="s">
        <v>99</v>
      </c>
      <c r="G1049" s="147">
        <f>112+303</f>
        <v>415</v>
      </c>
      <c r="H1049" s="146"/>
    </row>
    <row r="1050" spans="2:8" x14ac:dyDescent="0.2">
      <c r="B1050" s="143">
        <f t="shared" si="16"/>
        <v>40</v>
      </c>
      <c r="C1050" s="138" t="str">
        <f>TEXT(Таблица8[[#This Row],[Дата]],"М")</f>
        <v>10</v>
      </c>
      <c r="D1050" s="144">
        <v>44835</v>
      </c>
      <c r="E1050" s="143" t="s">
        <v>19</v>
      </c>
      <c r="F1050" s="143" t="s">
        <v>96</v>
      </c>
      <c r="G1050" s="147">
        <f>60+49</f>
        <v>109</v>
      </c>
      <c r="H1050" s="146"/>
    </row>
    <row r="1051" spans="2:8" x14ac:dyDescent="0.2">
      <c r="B1051" s="137">
        <f t="shared" si="16"/>
        <v>41</v>
      </c>
      <c r="C1051" s="167" t="str">
        <f>TEXT(Таблица8[[#This Row],[Дата]],"М")</f>
        <v>10</v>
      </c>
      <c r="D1051" s="139">
        <v>44836</v>
      </c>
      <c r="E1051" s="137" t="s">
        <v>71</v>
      </c>
      <c r="F1051" s="137" t="s">
        <v>115</v>
      </c>
      <c r="G1051" s="140">
        <v>260</v>
      </c>
      <c r="H1051" s="141"/>
    </row>
    <row r="1052" spans="2:8" x14ac:dyDescent="0.2">
      <c r="B1052" s="143">
        <f t="shared" si="16"/>
        <v>41</v>
      </c>
      <c r="C1052" s="138" t="str">
        <f>TEXT(Таблица8[[#This Row],[Дата]],"М")</f>
        <v>10</v>
      </c>
      <c r="D1052" s="144">
        <v>44836</v>
      </c>
      <c r="E1052" s="143" t="s">
        <v>20</v>
      </c>
      <c r="F1052" s="143" t="s">
        <v>118</v>
      </c>
      <c r="G1052" s="147">
        <v>145</v>
      </c>
      <c r="H1052" s="146"/>
    </row>
    <row r="1053" spans="2:8" x14ac:dyDescent="0.2">
      <c r="B1053" s="143">
        <f t="shared" si="16"/>
        <v>41</v>
      </c>
      <c r="C1053" s="138" t="str">
        <f>TEXT(Таблица8[[#This Row],[Дата]],"М")</f>
        <v>10</v>
      </c>
      <c r="D1053" s="144">
        <v>44836</v>
      </c>
      <c r="E1053" s="143" t="s">
        <v>20</v>
      </c>
      <c r="F1053" s="143" t="s">
        <v>97</v>
      </c>
      <c r="G1053" s="147">
        <v>140</v>
      </c>
      <c r="H1053" s="146"/>
    </row>
    <row r="1054" spans="2:8" x14ac:dyDescent="0.2">
      <c r="B1054" s="143">
        <f t="shared" si="16"/>
        <v>41</v>
      </c>
      <c r="C1054" s="138" t="str">
        <f>TEXT(Таблица8[[#This Row],[Дата]],"М")</f>
        <v>10</v>
      </c>
      <c r="D1054" s="144">
        <v>44836</v>
      </c>
      <c r="E1054" s="143" t="s">
        <v>20</v>
      </c>
      <c r="F1054" s="143" t="s">
        <v>95</v>
      </c>
      <c r="G1054" s="147">
        <v>20</v>
      </c>
      <c r="H1054" s="146"/>
    </row>
    <row r="1055" spans="2:8" x14ac:dyDescent="0.2">
      <c r="B1055" s="143">
        <f t="shared" si="16"/>
        <v>41</v>
      </c>
      <c r="C1055" s="138" t="str">
        <f>TEXT(Таблица8[[#This Row],[Дата]],"М")</f>
        <v>10</v>
      </c>
      <c r="D1055" s="144">
        <v>44836</v>
      </c>
      <c r="E1055" s="143" t="s">
        <v>19</v>
      </c>
      <c r="F1055" s="143" t="s">
        <v>96</v>
      </c>
      <c r="G1055" s="147">
        <v>153</v>
      </c>
      <c r="H1055" s="146"/>
    </row>
    <row r="1056" spans="2:8" x14ac:dyDescent="0.2">
      <c r="B1056" s="143">
        <f t="shared" si="16"/>
        <v>41</v>
      </c>
      <c r="C1056" s="138" t="str">
        <f>TEXT(Таблица8[[#This Row],[Дата]],"М")</f>
        <v>10</v>
      </c>
      <c r="D1056" s="144">
        <v>44836</v>
      </c>
      <c r="E1056" s="143" t="s">
        <v>71</v>
      </c>
      <c r="F1056" s="143" t="s">
        <v>94</v>
      </c>
      <c r="G1056" s="147">
        <v>32</v>
      </c>
      <c r="H1056" s="146"/>
    </row>
    <row r="1057" spans="2:8" x14ac:dyDescent="0.2">
      <c r="B1057" s="137">
        <f t="shared" si="16"/>
        <v>41</v>
      </c>
      <c r="C1057" s="167" t="str">
        <f>TEXT(Таблица8[[#This Row],[Дата]],"М")</f>
        <v>10</v>
      </c>
      <c r="D1057" s="139">
        <v>44837</v>
      </c>
      <c r="E1057" s="137" t="s">
        <v>19</v>
      </c>
      <c r="F1057" s="137" t="s">
        <v>96</v>
      </c>
      <c r="G1057" s="140">
        <f>702+275+107+74+50</f>
        <v>1208</v>
      </c>
      <c r="H1057" s="141"/>
    </row>
    <row r="1058" spans="2:8" x14ac:dyDescent="0.2">
      <c r="B1058" s="137">
        <f t="shared" si="16"/>
        <v>41</v>
      </c>
      <c r="C1058" s="167" t="str">
        <f>TEXT(Таблица8[[#This Row],[Дата]],"М")</f>
        <v>10</v>
      </c>
      <c r="D1058" s="139">
        <v>44838</v>
      </c>
      <c r="E1058" s="137" t="s">
        <v>71</v>
      </c>
      <c r="F1058" s="137" t="s">
        <v>94</v>
      </c>
      <c r="G1058" s="140">
        <v>64</v>
      </c>
      <c r="H1058" s="141"/>
    </row>
    <row r="1059" spans="2:8" x14ac:dyDescent="0.2">
      <c r="B1059" s="143">
        <f t="shared" si="16"/>
        <v>41</v>
      </c>
      <c r="C1059" s="138" t="str">
        <f>TEXT(Таблица8[[#This Row],[Дата]],"М")</f>
        <v>10</v>
      </c>
      <c r="D1059" s="144">
        <v>44838</v>
      </c>
      <c r="E1059" s="143" t="s">
        <v>20</v>
      </c>
      <c r="F1059" s="143" t="s">
        <v>99</v>
      </c>
      <c r="G1059" s="147">
        <f>270+40</f>
        <v>310</v>
      </c>
      <c r="H1059" s="146"/>
    </row>
    <row r="1060" spans="2:8" x14ac:dyDescent="0.2">
      <c r="B1060" s="143">
        <f t="shared" si="16"/>
        <v>41</v>
      </c>
      <c r="C1060" s="138" t="str">
        <f>TEXT(Таблица8[[#This Row],[Дата]],"М")</f>
        <v>10</v>
      </c>
      <c r="D1060" s="144">
        <v>44838</v>
      </c>
      <c r="E1060" s="143" t="s">
        <v>20</v>
      </c>
      <c r="F1060" s="143" t="s">
        <v>95</v>
      </c>
      <c r="G1060" s="147">
        <v>50</v>
      </c>
      <c r="H1060" s="146"/>
    </row>
    <row r="1061" spans="2:8" x14ac:dyDescent="0.2">
      <c r="B1061" s="137">
        <f t="shared" si="16"/>
        <v>41</v>
      </c>
      <c r="C1061" s="167" t="str">
        <f>TEXT(Таблица8[[#This Row],[Дата]],"М")</f>
        <v>10</v>
      </c>
      <c r="D1061" s="139">
        <v>44839</v>
      </c>
      <c r="E1061" s="137" t="s">
        <v>71</v>
      </c>
      <c r="F1061" s="137" t="s">
        <v>94</v>
      </c>
      <c r="G1061" s="140">
        <v>64</v>
      </c>
      <c r="H1061" s="141"/>
    </row>
    <row r="1062" spans="2:8" x14ac:dyDescent="0.2">
      <c r="B1062" s="143">
        <f t="shared" si="16"/>
        <v>41</v>
      </c>
      <c r="C1062" s="138" t="str">
        <f>TEXT(Таблица8[[#This Row],[Дата]],"М")</f>
        <v>10</v>
      </c>
      <c r="D1062" s="144">
        <v>44839</v>
      </c>
      <c r="E1062" s="143" t="s">
        <v>20</v>
      </c>
      <c r="F1062" s="143" t="s">
        <v>99</v>
      </c>
      <c r="G1062" s="147">
        <f>40+207</f>
        <v>247</v>
      </c>
      <c r="H1062" s="146"/>
    </row>
    <row r="1063" spans="2:8" x14ac:dyDescent="0.2">
      <c r="B1063" s="143">
        <f t="shared" si="16"/>
        <v>41</v>
      </c>
      <c r="C1063" s="138" t="str">
        <f>TEXT(Таблица8[[#This Row],[Дата]],"М")</f>
        <v>10</v>
      </c>
      <c r="D1063" s="144">
        <v>44839</v>
      </c>
      <c r="E1063" s="143" t="s">
        <v>72</v>
      </c>
      <c r="F1063" s="143" t="s">
        <v>132</v>
      </c>
      <c r="G1063" s="147">
        <v>400</v>
      </c>
      <c r="H1063" s="146"/>
    </row>
    <row r="1064" spans="2:8" x14ac:dyDescent="0.2">
      <c r="B1064" s="143">
        <f t="shared" si="16"/>
        <v>41</v>
      </c>
      <c r="C1064" s="138" t="str">
        <f>TEXT(Таблица8[[#This Row],[Дата]],"М")</f>
        <v>10</v>
      </c>
      <c r="D1064" s="144">
        <v>44839</v>
      </c>
      <c r="E1064" s="143" t="s">
        <v>19</v>
      </c>
      <c r="F1064" s="143" t="s">
        <v>96</v>
      </c>
      <c r="G1064" s="147">
        <v>150</v>
      </c>
      <c r="H1064" s="146"/>
    </row>
    <row r="1065" spans="2:8" x14ac:dyDescent="0.2">
      <c r="B1065" s="137">
        <f t="shared" si="16"/>
        <v>41</v>
      </c>
      <c r="C1065" s="167" t="str">
        <f>TEXT(Таблица8[[#This Row],[Дата]],"М")</f>
        <v>10</v>
      </c>
      <c r="D1065" s="139">
        <v>44840</v>
      </c>
      <c r="E1065" s="137" t="s">
        <v>71</v>
      </c>
      <c r="F1065" s="137" t="s">
        <v>94</v>
      </c>
      <c r="G1065" s="140">
        <v>64</v>
      </c>
      <c r="H1065" s="141"/>
    </row>
    <row r="1066" spans="2:8" x14ac:dyDescent="0.2">
      <c r="B1066" s="143">
        <f t="shared" si="16"/>
        <v>41</v>
      </c>
      <c r="C1066" s="138" t="str">
        <f>TEXT(Таблица8[[#This Row],[Дата]],"М")</f>
        <v>10</v>
      </c>
      <c r="D1066" s="144">
        <v>44840</v>
      </c>
      <c r="E1066" s="143" t="s">
        <v>20</v>
      </c>
      <c r="F1066" s="143" t="s">
        <v>99</v>
      </c>
      <c r="G1066" s="147">
        <v>377</v>
      </c>
      <c r="H1066" s="146"/>
    </row>
    <row r="1067" spans="2:8" x14ac:dyDescent="0.2">
      <c r="B1067" s="143">
        <f t="shared" si="16"/>
        <v>41</v>
      </c>
      <c r="C1067" s="138" t="str">
        <f>TEXT(Таблица8[[#This Row],[Дата]],"М")</f>
        <v>10</v>
      </c>
      <c r="D1067" s="144">
        <v>44840</v>
      </c>
      <c r="E1067" s="143" t="s">
        <v>19</v>
      </c>
      <c r="F1067" s="143" t="s">
        <v>96</v>
      </c>
      <c r="G1067" s="147">
        <v>193</v>
      </c>
      <c r="H1067" s="146"/>
    </row>
    <row r="1068" spans="2:8" x14ac:dyDescent="0.2">
      <c r="B1068" s="137">
        <f t="shared" si="16"/>
        <v>41</v>
      </c>
      <c r="C1068" s="167" t="str">
        <f>TEXT(Таблица8[[#This Row],[Дата]],"М")</f>
        <v>10</v>
      </c>
      <c r="D1068" s="139">
        <v>44841</v>
      </c>
      <c r="E1068" s="137" t="s">
        <v>71</v>
      </c>
      <c r="F1068" s="137" t="s">
        <v>94</v>
      </c>
      <c r="G1068" s="140">
        <f>32+32+32</f>
        <v>96</v>
      </c>
      <c r="H1068" s="141"/>
    </row>
    <row r="1069" spans="2:8" x14ac:dyDescent="0.2">
      <c r="B1069" s="143">
        <f t="shared" si="16"/>
        <v>41</v>
      </c>
      <c r="C1069" s="138" t="str">
        <f>TEXT(Таблица8[[#This Row],[Дата]],"М")</f>
        <v>10</v>
      </c>
      <c r="D1069" s="144">
        <v>44841</v>
      </c>
      <c r="E1069" s="143" t="s">
        <v>71</v>
      </c>
      <c r="F1069" s="143" t="s">
        <v>91</v>
      </c>
      <c r="G1069" s="147">
        <f>410</f>
        <v>410</v>
      </c>
      <c r="H1069" s="146"/>
    </row>
    <row r="1070" spans="2:8" x14ac:dyDescent="0.2">
      <c r="B1070" s="143">
        <f t="shared" si="16"/>
        <v>41</v>
      </c>
      <c r="C1070" s="138" t="str">
        <f>TEXT(Таблица8[[#This Row],[Дата]],"М")</f>
        <v>10</v>
      </c>
      <c r="D1070" s="144">
        <v>44841</v>
      </c>
      <c r="E1070" s="143" t="s">
        <v>20</v>
      </c>
      <c r="F1070" s="143" t="s">
        <v>95</v>
      </c>
      <c r="G1070" s="147">
        <f>120+190</f>
        <v>310</v>
      </c>
      <c r="H1070" s="146"/>
    </row>
    <row r="1071" spans="2:8" x14ac:dyDescent="0.2">
      <c r="B1071" s="143">
        <f t="shared" si="16"/>
        <v>41</v>
      </c>
      <c r="C1071" s="138" t="str">
        <f>TEXT(Таблица8[[#This Row],[Дата]],"М")</f>
        <v>10</v>
      </c>
      <c r="D1071" s="144">
        <v>44841</v>
      </c>
      <c r="E1071" s="143" t="s">
        <v>22</v>
      </c>
      <c r="F1071" s="143" t="s">
        <v>104</v>
      </c>
      <c r="G1071" s="147">
        <v>2397</v>
      </c>
      <c r="H1071" s="146"/>
    </row>
    <row r="1072" spans="2:8" x14ac:dyDescent="0.2">
      <c r="B1072" s="143">
        <f t="shared" si="16"/>
        <v>41</v>
      </c>
      <c r="C1072" s="138" t="str">
        <f>TEXT(Таблица8[[#This Row],[Дата]],"М")</f>
        <v>10</v>
      </c>
      <c r="D1072" s="144">
        <v>44841</v>
      </c>
      <c r="E1072" s="143" t="s">
        <v>22</v>
      </c>
      <c r="F1072" s="143" t="s">
        <v>38</v>
      </c>
      <c r="G1072" s="147">
        <v>100</v>
      </c>
      <c r="H1072" s="146"/>
    </row>
    <row r="1073" spans="2:8" x14ac:dyDescent="0.2">
      <c r="B1073" s="137">
        <f t="shared" si="16"/>
        <v>41</v>
      </c>
      <c r="C1073" s="167" t="str">
        <f>TEXT(Таблица8[[#This Row],[Дата]],"М")</f>
        <v>10</v>
      </c>
      <c r="D1073" s="139">
        <v>44842</v>
      </c>
      <c r="E1073" s="137" t="s">
        <v>19</v>
      </c>
      <c r="F1073" s="137" t="s">
        <v>96</v>
      </c>
      <c r="G1073" s="140">
        <f>666+150</f>
        <v>816</v>
      </c>
      <c r="H1073" s="141"/>
    </row>
    <row r="1074" spans="2:8" x14ac:dyDescent="0.2">
      <c r="B1074" s="137">
        <f t="shared" si="16"/>
        <v>42</v>
      </c>
      <c r="C1074" s="167" t="str">
        <f>TEXT(Таблица8[[#This Row],[Дата]],"М")</f>
        <v>10</v>
      </c>
      <c r="D1074" s="139">
        <v>44843</v>
      </c>
      <c r="E1074" s="137" t="s">
        <v>20</v>
      </c>
      <c r="F1074" s="137" t="s">
        <v>118</v>
      </c>
      <c r="G1074" s="140">
        <v>340</v>
      </c>
      <c r="H1074" s="141"/>
    </row>
    <row r="1075" spans="2:8" x14ac:dyDescent="0.2">
      <c r="B1075" s="143">
        <f t="shared" si="16"/>
        <v>42</v>
      </c>
      <c r="C1075" s="138" t="str">
        <f>TEXT(Таблица8[[#This Row],[Дата]],"М")</f>
        <v>10</v>
      </c>
      <c r="D1075" s="144">
        <v>44843</v>
      </c>
      <c r="E1075" s="143" t="s">
        <v>20</v>
      </c>
      <c r="F1075" s="143" t="s">
        <v>95</v>
      </c>
      <c r="G1075" s="147">
        <v>235</v>
      </c>
      <c r="H1075" s="146"/>
    </row>
    <row r="1076" spans="2:8" x14ac:dyDescent="0.2">
      <c r="B1076" s="137">
        <f t="shared" ref="B1076:B1139" si="17">WEEKNUM(D1076)</f>
        <v>42</v>
      </c>
      <c r="C1076" s="167" t="str">
        <f>TEXT(Таблица8[[#This Row],[Дата]],"М")</f>
        <v>10</v>
      </c>
      <c r="D1076" s="139">
        <v>44844</v>
      </c>
      <c r="E1076" s="137" t="s">
        <v>71</v>
      </c>
      <c r="F1076" s="137" t="s">
        <v>94</v>
      </c>
      <c r="G1076" s="140">
        <v>64</v>
      </c>
      <c r="H1076" s="141"/>
    </row>
    <row r="1077" spans="2:8" x14ac:dyDescent="0.2">
      <c r="B1077" s="143">
        <f t="shared" si="17"/>
        <v>42</v>
      </c>
      <c r="C1077" s="138" t="str">
        <f>TEXT(Таблица8[[#This Row],[Дата]],"М")</f>
        <v>10</v>
      </c>
      <c r="D1077" s="144">
        <v>44844</v>
      </c>
      <c r="E1077" s="143" t="s">
        <v>20</v>
      </c>
      <c r="F1077" s="143" t="s">
        <v>99</v>
      </c>
      <c r="G1077" s="147">
        <v>230</v>
      </c>
      <c r="H1077" s="146"/>
    </row>
    <row r="1078" spans="2:8" x14ac:dyDescent="0.2">
      <c r="B1078" s="143">
        <f t="shared" si="17"/>
        <v>42</v>
      </c>
      <c r="C1078" s="138" t="str">
        <f>TEXT(Таблица8[[#This Row],[Дата]],"М")</f>
        <v>10</v>
      </c>
      <c r="D1078" s="144">
        <v>44844</v>
      </c>
      <c r="E1078" s="143" t="s">
        <v>19</v>
      </c>
      <c r="F1078" s="143" t="s">
        <v>96</v>
      </c>
      <c r="G1078" s="147">
        <v>195</v>
      </c>
      <c r="H1078" s="146"/>
    </row>
    <row r="1079" spans="2:8" x14ac:dyDescent="0.2">
      <c r="B1079" s="137">
        <f t="shared" si="17"/>
        <v>42</v>
      </c>
      <c r="C1079" s="167" t="str">
        <f>TEXT(Таблица8[[#This Row],[Дата]],"М")</f>
        <v>10</v>
      </c>
      <c r="D1079" s="139">
        <v>44845</v>
      </c>
      <c r="E1079" s="137" t="s">
        <v>71</v>
      </c>
      <c r="F1079" s="137" t="s">
        <v>94</v>
      </c>
      <c r="G1079" s="140">
        <v>64</v>
      </c>
      <c r="H1079" s="141"/>
    </row>
    <row r="1080" spans="2:8" x14ac:dyDescent="0.2">
      <c r="B1080" s="143">
        <f t="shared" si="17"/>
        <v>42</v>
      </c>
      <c r="C1080" s="138" t="str">
        <f>TEXT(Таблица8[[#This Row],[Дата]],"М")</f>
        <v>10</v>
      </c>
      <c r="D1080" s="144">
        <v>44845</v>
      </c>
      <c r="E1080" s="143" t="s">
        <v>20</v>
      </c>
      <c r="F1080" s="143" t="s">
        <v>99</v>
      </c>
      <c r="G1080" s="147">
        <v>220</v>
      </c>
      <c r="H1080" s="146"/>
    </row>
    <row r="1081" spans="2:8" x14ac:dyDescent="0.2">
      <c r="B1081" s="143">
        <f t="shared" si="17"/>
        <v>42</v>
      </c>
      <c r="C1081" s="138" t="str">
        <f>TEXT(Таблица8[[#This Row],[Дата]],"М")</f>
        <v>10</v>
      </c>
      <c r="D1081" s="144">
        <v>44845</v>
      </c>
      <c r="E1081" s="143" t="s">
        <v>19</v>
      </c>
      <c r="F1081" s="143" t="s">
        <v>96</v>
      </c>
      <c r="G1081" s="147">
        <f>90+442</f>
        <v>532</v>
      </c>
      <c r="H1081" s="146"/>
    </row>
    <row r="1082" spans="2:8" x14ac:dyDescent="0.2">
      <c r="B1082" s="137">
        <f t="shared" si="17"/>
        <v>42</v>
      </c>
      <c r="C1082" s="167" t="str">
        <f>TEXT(Таблица8[[#This Row],[Дата]],"М")</f>
        <v>10</v>
      </c>
      <c r="D1082" s="139">
        <v>44846</v>
      </c>
      <c r="E1082" s="137" t="s">
        <v>71</v>
      </c>
      <c r="F1082" s="137" t="s">
        <v>94</v>
      </c>
      <c r="G1082" s="140">
        <v>64</v>
      </c>
      <c r="H1082" s="141"/>
    </row>
    <row r="1083" spans="2:8" x14ac:dyDescent="0.2">
      <c r="B1083" s="143">
        <f t="shared" si="17"/>
        <v>42</v>
      </c>
      <c r="C1083" s="138" t="str">
        <f>TEXT(Таблица8[[#This Row],[Дата]],"М")</f>
        <v>10</v>
      </c>
      <c r="D1083" s="144">
        <v>44846</v>
      </c>
      <c r="E1083" s="143" t="s">
        <v>20</v>
      </c>
      <c r="F1083" s="143" t="s">
        <v>99</v>
      </c>
      <c r="G1083" s="147">
        <v>214</v>
      </c>
      <c r="H1083" s="146"/>
    </row>
    <row r="1084" spans="2:8" x14ac:dyDescent="0.2">
      <c r="B1084" s="143">
        <f t="shared" si="17"/>
        <v>42</v>
      </c>
      <c r="C1084" s="138" t="str">
        <f>TEXT(Таблица8[[#This Row],[Дата]],"М")</f>
        <v>10</v>
      </c>
      <c r="D1084" s="144">
        <v>44846</v>
      </c>
      <c r="E1084" s="143" t="s">
        <v>19</v>
      </c>
      <c r="F1084" s="143" t="s">
        <v>96</v>
      </c>
      <c r="G1084" s="147">
        <v>99</v>
      </c>
      <c r="H1084" s="146"/>
    </row>
    <row r="1085" spans="2:8" x14ac:dyDescent="0.2">
      <c r="B1085" s="137">
        <f t="shared" si="17"/>
        <v>42</v>
      </c>
      <c r="C1085" s="167" t="str">
        <f>TEXT(Таблица8[[#This Row],[Дата]],"М")</f>
        <v>10</v>
      </c>
      <c r="D1085" s="139">
        <v>44847</v>
      </c>
      <c r="E1085" s="137" t="s">
        <v>71</v>
      </c>
      <c r="F1085" s="137" t="s">
        <v>94</v>
      </c>
      <c r="G1085" s="140">
        <v>64</v>
      </c>
      <c r="H1085" s="141"/>
    </row>
    <row r="1086" spans="2:8" x14ac:dyDescent="0.2">
      <c r="B1086" s="143">
        <f t="shared" si="17"/>
        <v>42</v>
      </c>
      <c r="C1086" s="138" t="str">
        <f>TEXT(Таблица8[[#This Row],[Дата]],"М")</f>
        <v>10</v>
      </c>
      <c r="D1086" s="144">
        <v>44847</v>
      </c>
      <c r="E1086" s="143" t="s">
        <v>20</v>
      </c>
      <c r="F1086" s="143" t="s">
        <v>99</v>
      </c>
      <c r="G1086" s="147">
        <f>299+39</f>
        <v>338</v>
      </c>
      <c r="H1086" s="146"/>
    </row>
    <row r="1087" spans="2:8" x14ac:dyDescent="0.2">
      <c r="B1087" s="143">
        <f t="shared" si="17"/>
        <v>42</v>
      </c>
      <c r="C1087" s="138" t="str">
        <f>TEXT(Таблица8[[#This Row],[Дата]],"М")</f>
        <v>10</v>
      </c>
      <c r="D1087" s="144">
        <v>44847</v>
      </c>
      <c r="E1087" s="143" t="s">
        <v>19</v>
      </c>
      <c r="F1087" s="143" t="s">
        <v>96</v>
      </c>
      <c r="G1087" s="147">
        <f>95+80</f>
        <v>175</v>
      </c>
      <c r="H1087" s="146"/>
    </row>
    <row r="1088" spans="2:8" x14ac:dyDescent="0.2">
      <c r="B1088" s="143">
        <f t="shared" si="17"/>
        <v>42</v>
      </c>
      <c r="C1088" s="138" t="str">
        <f>TEXT(Таблица8[[#This Row],[Дата]],"М")</f>
        <v>10</v>
      </c>
      <c r="D1088" s="144">
        <v>44848</v>
      </c>
      <c r="E1088" s="143" t="s">
        <v>72</v>
      </c>
      <c r="F1088" s="143" t="s">
        <v>132</v>
      </c>
      <c r="G1088" s="147">
        <v>250</v>
      </c>
      <c r="H1088" s="146"/>
    </row>
    <row r="1089" spans="2:8" x14ac:dyDescent="0.2">
      <c r="B1089" s="143">
        <f t="shared" si="17"/>
        <v>42</v>
      </c>
      <c r="C1089" s="138" t="str">
        <f>TEXT(Таблица8[[#This Row],[Дата]],"М")</f>
        <v>10</v>
      </c>
      <c r="D1089" s="144">
        <v>44848</v>
      </c>
      <c r="E1089" s="143" t="s">
        <v>72</v>
      </c>
      <c r="F1089" s="143" t="s">
        <v>132</v>
      </c>
      <c r="G1089" s="147">
        <v>500</v>
      </c>
      <c r="H1089" s="146"/>
    </row>
    <row r="1090" spans="2:8" x14ac:dyDescent="0.2">
      <c r="B1090" s="143">
        <f t="shared" si="17"/>
        <v>42</v>
      </c>
      <c r="C1090" s="138" t="str">
        <f>TEXT(Таблица8[[#This Row],[Дата]],"М")</f>
        <v>10</v>
      </c>
      <c r="D1090" s="144">
        <v>44848</v>
      </c>
      <c r="E1090" s="143" t="s">
        <v>30</v>
      </c>
      <c r="F1090" s="143" t="s">
        <v>92</v>
      </c>
      <c r="G1090" s="147">
        <v>100</v>
      </c>
      <c r="H1090" s="146"/>
    </row>
    <row r="1091" spans="2:8" x14ac:dyDescent="0.2">
      <c r="B1091" s="143">
        <f t="shared" si="17"/>
        <v>42</v>
      </c>
      <c r="C1091" s="138" t="str">
        <f>TEXT(Таблица8[[#This Row],[Дата]],"М")</f>
        <v>10</v>
      </c>
      <c r="D1091" s="144">
        <v>44848</v>
      </c>
      <c r="E1091" s="143" t="s">
        <v>19</v>
      </c>
      <c r="F1091" s="143" t="s">
        <v>116</v>
      </c>
      <c r="G1091" s="147">
        <v>156</v>
      </c>
      <c r="H1091" s="146"/>
    </row>
    <row r="1092" spans="2:8" x14ac:dyDescent="0.2">
      <c r="B1092" s="143">
        <f t="shared" si="17"/>
        <v>42</v>
      </c>
      <c r="C1092" s="138" t="str">
        <f>TEXT(Таблица8[[#This Row],[Дата]],"М")</f>
        <v>10</v>
      </c>
      <c r="D1092" s="144">
        <v>44849</v>
      </c>
      <c r="E1092" s="143" t="s">
        <v>72</v>
      </c>
      <c r="F1092" s="143" t="s">
        <v>44</v>
      </c>
      <c r="G1092" s="147">
        <v>100</v>
      </c>
      <c r="H1092" s="146"/>
    </row>
    <row r="1093" spans="2:8" x14ac:dyDescent="0.2">
      <c r="B1093" s="143">
        <f t="shared" si="17"/>
        <v>42</v>
      </c>
      <c r="C1093" s="138" t="str">
        <f>TEXT(Таблица8[[#This Row],[Дата]],"М")</f>
        <v>10</v>
      </c>
      <c r="D1093" s="144">
        <v>44849</v>
      </c>
      <c r="E1093" s="143" t="s">
        <v>72</v>
      </c>
      <c r="F1093" s="143" t="s">
        <v>38</v>
      </c>
      <c r="G1093" s="147">
        <v>100</v>
      </c>
      <c r="H1093" s="146"/>
    </row>
    <row r="1094" spans="2:8" x14ac:dyDescent="0.2">
      <c r="B1094" s="143">
        <f t="shared" si="17"/>
        <v>42</v>
      </c>
      <c r="C1094" s="138" t="str">
        <f>TEXT(Таблица8[[#This Row],[Дата]],"М")</f>
        <v>10</v>
      </c>
      <c r="D1094" s="144">
        <v>44849</v>
      </c>
      <c r="E1094" s="143" t="s">
        <v>72</v>
      </c>
      <c r="F1094" s="143" t="s">
        <v>40</v>
      </c>
      <c r="G1094" s="147">
        <v>200</v>
      </c>
      <c r="H1094" s="146"/>
    </row>
    <row r="1095" spans="2:8" x14ac:dyDescent="0.2">
      <c r="B1095" s="143">
        <f t="shared" si="17"/>
        <v>42</v>
      </c>
      <c r="C1095" s="138" t="str">
        <f>TEXT(Таблица8[[#This Row],[Дата]],"М")</f>
        <v>10</v>
      </c>
      <c r="D1095" s="144">
        <v>44849</v>
      </c>
      <c r="E1095" s="143" t="s">
        <v>72</v>
      </c>
      <c r="F1095" s="143" t="s">
        <v>43</v>
      </c>
      <c r="G1095" s="147">
        <v>100</v>
      </c>
      <c r="H1095" s="146"/>
    </row>
    <row r="1096" spans="2:8" x14ac:dyDescent="0.2">
      <c r="B1096" s="143">
        <f t="shared" si="17"/>
        <v>42</v>
      </c>
      <c r="C1096" s="138" t="str">
        <f>TEXT(Таблица8[[#This Row],[Дата]],"М")</f>
        <v>10</v>
      </c>
      <c r="D1096" s="144">
        <v>44849</v>
      </c>
      <c r="E1096" s="143" t="s">
        <v>72</v>
      </c>
      <c r="F1096" s="143" t="s">
        <v>45</v>
      </c>
      <c r="G1096" s="147">
        <v>100</v>
      </c>
      <c r="H1096" s="146"/>
    </row>
    <row r="1097" spans="2:8" x14ac:dyDescent="0.2">
      <c r="B1097" s="143">
        <f t="shared" si="17"/>
        <v>42</v>
      </c>
      <c r="C1097" s="138" t="str">
        <f>TEXT(Таблица8[[#This Row],[Дата]],"М")</f>
        <v>10</v>
      </c>
      <c r="D1097" s="144">
        <v>44849</v>
      </c>
      <c r="E1097" s="143" t="s">
        <v>19</v>
      </c>
      <c r="F1097" s="143" t="s">
        <v>96</v>
      </c>
      <c r="G1097" s="147">
        <f>976+53+44+70</f>
        <v>1143</v>
      </c>
      <c r="H1097" s="146"/>
    </row>
    <row r="1098" spans="2:8" x14ac:dyDescent="0.2">
      <c r="B1098" s="143">
        <f t="shared" si="17"/>
        <v>42</v>
      </c>
      <c r="C1098" s="138" t="str">
        <f>TEXT(Таблица8[[#This Row],[Дата]],"М")</f>
        <v>10</v>
      </c>
      <c r="D1098" s="144">
        <v>44849</v>
      </c>
      <c r="E1098" s="143" t="s">
        <v>30</v>
      </c>
      <c r="F1098" s="143" t="s">
        <v>98</v>
      </c>
      <c r="G1098" s="147">
        <v>750</v>
      </c>
      <c r="H1098" s="146"/>
    </row>
    <row r="1099" spans="2:8" x14ac:dyDescent="0.2">
      <c r="B1099" s="143">
        <f t="shared" si="17"/>
        <v>42</v>
      </c>
      <c r="C1099" s="138" t="str">
        <f>TEXT(Таблица8[[#This Row],[Дата]],"М")</f>
        <v>10</v>
      </c>
      <c r="D1099" s="144">
        <v>44849</v>
      </c>
      <c r="E1099" s="143" t="s">
        <v>71</v>
      </c>
      <c r="F1099" s="143" t="s">
        <v>94</v>
      </c>
      <c r="G1099" s="147">
        <v>32</v>
      </c>
      <c r="H1099" s="146"/>
    </row>
    <row r="1100" spans="2:8" x14ac:dyDescent="0.2">
      <c r="B1100" s="137">
        <f t="shared" si="17"/>
        <v>43</v>
      </c>
      <c r="C1100" s="167" t="str">
        <f>TEXT(Таблица8[[#This Row],[Дата]],"М")</f>
        <v>10</v>
      </c>
      <c r="D1100" s="139">
        <v>44850</v>
      </c>
      <c r="E1100" s="137" t="s">
        <v>71</v>
      </c>
      <c r="F1100" s="137" t="s">
        <v>94</v>
      </c>
      <c r="G1100" s="140">
        <v>64</v>
      </c>
      <c r="H1100" s="141"/>
    </row>
    <row r="1101" spans="2:8" x14ac:dyDescent="0.2">
      <c r="B1101" s="143">
        <f t="shared" si="17"/>
        <v>43</v>
      </c>
      <c r="C1101" s="138" t="str">
        <f>TEXT(Таблица8[[#This Row],[Дата]],"М")</f>
        <v>10</v>
      </c>
      <c r="D1101" s="144">
        <v>44850</v>
      </c>
      <c r="E1101" s="143" t="s">
        <v>19</v>
      </c>
      <c r="F1101" s="143" t="s">
        <v>96</v>
      </c>
      <c r="G1101" s="147">
        <v>40</v>
      </c>
      <c r="H1101" s="146"/>
    </row>
    <row r="1102" spans="2:8" x14ac:dyDescent="0.2">
      <c r="B1102" s="143">
        <f t="shared" si="17"/>
        <v>43</v>
      </c>
      <c r="C1102" s="138" t="str">
        <f>TEXT(Таблица8[[#This Row],[Дата]],"М")</f>
        <v>10</v>
      </c>
      <c r="D1102" s="144">
        <v>44850</v>
      </c>
      <c r="E1102" s="143" t="s">
        <v>20</v>
      </c>
      <c r="F1102" s="143" t="s">
        <v>99</v>
      </c>
      <c r="G1102" s="147">
        <v>163</v>
      </c>
      <c r="H1102" s="146"/>
    </row>
    <row r="1103" spans="2:8" x14ac:dyDescent="0.2">
      <c r="B1103" s="143">
        <f t="shared" si="17"/>
        <v>43</v>
      </c>
      <c r="C1103" s="138" t="str">
        <f>TEXT(Таблица8[[#This Row],[Дата]],"М")</f>
        <v>10</v>
      </c>
      <c r="D1103" s="144">
        <v>44850</v>
      </c>
      <c r="E1103" s="143" t="s">
        <v>20</v>
      </c>
      <c r="F1103" s="143" t="s">
        <v>95</v>
      </c>
      <c r="G1103" s="147">
        <v>40</v>
      </c>
      <c r="H1103" s="146"/>
    </row>
    <row r="1104" spans="2:8" x14ac:dyDescent="0.2">
      <c r="B1104" s="137">
        <f t="shared" si="17"/>
        <v>43</v>
      </c>
      <c r="C1104" s="167" t="str">
        <f>TEXT(Таблица8[[#This Row],[Дата]],"М")</f>
        <v>10</v>
      </c>
      <c r="D1104" s="139">
        <v>44851</v>
      </c>
      <c r="E1104" s="137" t="s">
        <v>71</v>
      </c>
      <c r="F1104" s="137" t="s">
        <v>94</v>
      </c>
      <c r="G1104" s="140">
        <v>64</v>
      </c>
      <c r="H1104" s="141"/>
    </row>
    <row r="1105" spans="2:8" x14ac:dyDescent="0.2">
      <c r="B1105" s="143">
        <f t="shared" si="17"/>
        <v>43</v>
      </c>
      <c r="C1105" s="138" t="str">
        <f>TEXT(Таблица8[[#This Row],[Дата]],"М")</f>
        <v>10</v>
      </c>
      <c r="D1105" s="144">
        <v>44851</v>
      </c>
      <c r="E1105" s="143" t="s">
        <v>20</v>
      </c>
      <c r="F1105" s="143" t="s">
        <v>99</v>
      </c>
      <c r="G1105" s="147">
        <v>205</v>
      </c>
      <c r="H1105" s="146"/>
    </row>
    <row r="1106" spans="2:8" x14ac:dyDescent="0.2">
      <c r="B1106" s="143">
        <f t="shared" si="17"/>
        <v>43</v>
      </c>
      <c r="C1106" s="138" t="str">
        <f>TEXT(Таблица8[[#This Row],[Дата]],"М")</f>
        <v>10</v>
      </c>
      <c r="D1106" s="144">
        <v>44851</v>
      </c>
      <c r="E1106" s="143" t="s">
        <v>20</v>
      </c>
      <c r="F1106" s="143" t="s">
        <v>95</v>
      </c>
      <c r="G1106" s="147">
        <v>35</v>
      </c>
      <c r="H1106" s="146"/>
    </row>
    <row r="1107" spans="2:8" x14ac:dyDescent="0.2">
      <c r="B1107" s="137">
        <f t="shared" si="17"/>
        <v>43</v>
      </c>
      <c r="C1107" s="167" t="str">
        <f>TEXT(Таблица8[[#This Row],[Дата]],"М")</f>
        <v>10</v>
      </c>
      <c r="D1107" s="139">
        <v>44852</v>
      </c>
      <c r="E1107" s="137" t="s">
        <v>71</v>
      </c>
      <c r="F1107" s="137" t="s">
        <v>94</v>
      </c>
      <c r="G1107" s="140">
        <v>64</v>
      </c>
      <c r="H1107" s="141"/>
    </row>
    <row r="1108" spans="2:8" x14ac:dyDescent="0.2">
      <c r="B1108" s="143">
        <f t="shared" si="17"/>
        <v>43</v>
      </c>
      <c r="C1108" s="138" t="str">
        <f>TEXT(Таблица8[[#This Row],[Дата]],"М")</f>
        <v>10</v>
      </c>
      <c r="D1108" s="144">
        <v>44852</v>
      </c>
      <c r="E1108" s="143" t="s">
        <v>20</v>
      </c>
      <c r="F1108" s="143" t="s">
        <v>99</v>
      </c>
      <c r="G1108" s="147">
        <v>248</v>
      </c>
      <c r="H1108" s="146"/>
    </row>
    <row r="1109" spans="2:8" x14ac:dyDescent="0.2">
      <c r="B1109" s="143">
        <f t="shared" si="17"/>
        <v>43</v>
      </c>
      <c r="C1109" s="138" t="str">
        <f>TEXT(Таблица8[[#This Row],[Дата]],"М")</f>
        <v>10</v>
      </c>
      <c r="D1109" s="144">
        <v>44852</v>
      </c>
      <c r="E1109" s="143" t="s">
        <v>19</v>
      </c>
      <c r="F1109" s="143" t="s">
        <v>96</v>
      </c>
      <c r="G1109" s="147">
        <f>68+40</f>
        <v>108</v>
      </c>
      <c r="H1109" s="146"/>
    </row>
    <row r="1110" spans="2:8" x14ac:dyDescent="0.2">
      <c r="B1110" s="143">
        <f t="shared" si="17"/>
        <v>43</v>
      </c>
      <c r="C1110" s="138" t="str">
        <f>TEXT(Таблица8[[#This Row],[Дата]],"М")</f>
        <v>10</v>
      </c>
      <c r="D1110" s="144">
        <v>44852</v>
      </c>
      <c r="E1110" s="143" t="s">
        <v>20</v>
      </c>
      <c r="F1110" s="143" t="s">
        <v>95</v>
      </c>
      <c r="G1110" s="147">
        <v>40</v>
      </c>
      <c r="H1110" s="146"/>
    </row>
    <row r="1111" spans="2:8" x14ac:dyDescent="0.2">
      <c r="B1111" s="137">
        <f t="shared" si="17"/>
        <v>43</v>
      </c>
      <c r="C1111" s="167" t="str">
        <f>TEXT(Таблица8[[#This Row],[Дата]],"М")</f>
        <v>10</v>
      </c>
      <c r="D1111" s="139">
        <v>44853</v>
      </c>
      <c r="E1111" s="137" t="s">
        <v>19</v>
      </c>
      <c r="F1111" s="137" t="s">
        <v>96</v>
      </c>
      <c r="G1111" s="140">
        <f>50+377+55+301</f>
        <v>783</v>
      </c>
      <c r="H1111" s="141"/>
    </row>
    <row r="1112" spans="2:8" x14ac:dyDescent="0.2">
      <c r="B1112" s="143">
        <f t="shared" si="17"/>
        <v>43</v>
      </c>
      <c r="C1112" s="138" t="str">
        <f>TEXT(Таблица8[[#This Row],[Дата]],"М")</f>
        <v>10</v>
      </c>
      <c r="D1112" s="144">
        <v>44854</v>
      </c>
      <c r="E1112" s="143" t="s">
        <v>22</v>
      </c>
      <c r="F1112" s="143" t="s">
        <v>104</v>
      </c>
      <c r="G1112" s="147">
        <v>129</v>
      </c>
      <c r="H1112" s="146"/>
    </row>
    <row r="1113" spans="2:8" x14ac:dyDescent="0.2">
      <c r="B1113" s="143">
        <f t="shared" si="17"/>
        <v>43</v>
      </c>
      <c r="C1113" s="138" t="str">
        <f>TEXT(Таблица8[[#This Row],[Дата]],"М")</f>
        <v>10</v>
      </c>
      <c r="D1113" s="144">
        <v>44854</v>
      </c>
      <c r="E1113" s="143" t="s">
        <v>19</v>
      </c>
      <c r="F1113" s="143" t="s">
        <v>96</v>
      </c>
      <c r="G1113" s="147">
        <f>173+91</f>
        <v>264</v>
      </c>
      <c r="H1113" s="146"/>
    </row>
    <row r="1114" spans="2:8" x14ac:dyDescent="0.2">
      <c r="B1114" s="137">
        <f t="shared" si="17"/>
        <v>43</v>
      </c>
      <c r="C1114" s="167" t="str">
        <f>TEXT(Таблица8[[#This Row],[Дата]],"М")</f>
        <v>10</v>
      </c>
      <c r="D1114" s="139">
        <v>44855</v>
      </c>
      <c r="E1114" s="137" t="s">
        <v>19</v>
      </c>
      <c r="F1114" s="137" t="s">
        <v>96</v>
      </c>
      <c r="G1114" s="140">
        <f>82+28+280</f>
        <v>390</v>
      </c>
      <c r="H1114" s="141"/>
    </row>
    <row r="1115" spans="2:8" x14ac:dyDescent="0.2">
      <c r="B1115" s="143">
        <f t="shared" si="17"/>
        <v>43</v>
      </c>
      <c r="C1115" s="138" t="str">
        <f>TEXT(Таблица8[[#This Row],[Дата]],"М")</f>
        <v>10</v>
      </c>
      <c r="D1115" s="144">
        <v>44855</v>
      </c>
      <c r="E1115" s="143" t="s">
        <v>30</v>
      </c>
      <c r="F1115" s="143" t="s">
        <v>92</v>
      </c>
      <c r="G1115" s="147">
        <v>150</v>
      </c>
      <c r="H1115" s="146"/>
    </row>
    <row r="1116" spans="2:8" x14ac:dyDescent="0.2">
      <c r="B1116" s="137">
        <f t="shared" si="17"/>
        <v>43</v>
      </c>
      <c r="C1116" s="167" t="str">
        <f>TEXT(Таблица8[[#This Row],[Дата]],"М")</f>
        <v>10</v>
      </c>
      <c r="D1116" s="139">
        <v>44856</v>
      </c>
      <c r="E1116" s="137" t="s">
        <v>71</v>
      </c>
      <c r="F1116" s="137" t="s">
        <v>94</v>
      </c>
      <c r="G1116" s="140">
        <v>64</v>
      </c>
      <c r="H1116" s="141"/>
    </row>
    <row r="1117" spans="2:8" x14ac:dyDescent="0.2">
      <c r="B1117" s="143">
        <f t="shared" si="17"/>
        <v>43</v>
      </c>
      <c r="C1117" s="138" t="str">
        <f>TEXT(Таблица8[[#This Row],[Дата]],"М")</f>
        <v>10</v>
      </c>
      <c r="D1117" s="144">
        <v>44856</v>
      </c>
      <c r="E1117" s="143" t="s">
        <v>20</v>
      </c>
      <c r="F1117" s="143" t="s">
        <v>99</v>
      </c>
      <c r="G1117" s="147">
        <v>275</v>
      </c>
      <c r="H1117" s="146"/>
    </row>
    <row r="1118" spans="2:8" x14ac:dyDescent="0.2">
      <c r="B1118" s="143">
        <f t="shared" si="17"/>
        <v>43</v>
      </c>
      <c r="C1118" s="138" t="str">
        <f>TEXT(Таблица8[[#This Row],[Дата]],"М")</f>
        <v>10</v>
      </c>
      <c r="D1118" s="144">
        <v>44856</v>
      </c>
      <c r="E1118" s="143" t="s">
        <v>20</v>
      </c>
      <c r="F1118" s="143" t="s">
        <v>95</v>
      </c>
      <c r="G1118" s="147">
        <v>36</v>
      </c>
      <c r="H1118" s="146"/>
    </row>
    <row r="1119" spans="2:8" x14ac:dyDescent="0.2">
      <c r="B1119" s="137">
        <f t="shared" si="17"/>
        <v>44</v>
      </c>
      <c r="C1119" s="167" t="str">
        <f>TEXT(Таблица8[[#This Row],[Дата]],"М")</f>
        <v>10</v>
      </c>
      <c r="D1119" s="139">
        <v>44857</v>
      </c>
      <c r="E1119" s="137" t="s">
        <v>71</v>
      </c>
      <c r="F1119" s="137" t="s">
        <v>94</v>
      </c>
      <c r="G1119" s="140">
        <v>64</v>
      </c>
      <c r="H1119" s="141"/>
    </row>
    <row r="1120" spans="2:8" x14ac:dyDescent="0.2">
      <c r="B1120" s="143">
        <f t="shared" si="17"/>
        <v>44</v>
      </c>
      <c r="C1120" s="138" t="str">
        <f>TEXT(Таблица8[[#This Row],[Дата]],"М")</f>
        <v>10</v>
      </c>
      <c r="D1120" s="144">
        <v>44857</v>
      </c>
      <c r="E1120" s="143" t="s">
        <v>20</v>
      </c>
      <c r="F1120" s="143" t="s">
        <v>99</v>
      </c>
      <c r="G1120" s="147">
        <v>225</v>
      </c>
      <c r="H1120" s="146"/>
    </row>
    <row r="1121" spans="2:8" x14ac:dyDescent="0.2">
      <c r="B1121" s="143">
        <f t="shared" si="17"/>
        <v>44</v>
      </c>
      <c r="C1121" s="138" t="str">
        <f>TEXT(Таблица8[[#This Row],[Дата]],"М")</f>
        <v>10</v>
      </c>
      <c r="D1121" s="144">
        <v>44857</v>
      </c>
      <c r="E1121" s="143" t="s">
        <v>19</v>
      </c>
      <c r="F1121" s="143" t="s">
        <v>96</v>
      </c>
      <c r="G1121" s="147">
        <f>128+44</f>
        <v>172</v>
      </c>
      <c r="H1121" s="146"/>
    </row>
    <row r="1122" spans="2:8" x14ac:dyDescent="0.2">
      <c r="B1122" s="143">
        <f t="shared" si="17"/>
        <v>44</v>
      </c>
      <c r="C1122" s="138" t="str">
        <f>TEXT(Таблица8[[#This Row],[Дата]],"М")</f>
        <v>10</v>
      </c>
      <c r="D1122" s="144">
        <v>44857</v>
      </c>
      <c r="E1122" s="143" t="s">
        <v>29</v>
      </c>
      <c r="F1122" s="143" t="s">
        <v>107</v>
      </c>
      <c r="G1122" s="147">
        <v>325</v>
      </c>
      <c r="H1122" s="146"/>
    </row>
    <row r="1123" spans="2:8" x14ac:dyDescent="0.2">
      <c r="B1123" s="143">
        <f t="shared" si="17"/>
        <v>44</v>
      </c>
      <c r="C1123" s="138" t="str">
        <f>TEXT(Таблица8[[#This Row],[Дата]],"М")</f>
        <v>10</v>
      </c>
      <c r="D1123" s="144">
        <v>44857</v>
      </c>
      <c r="E1123" s="143" t="s">
        <v>72</v>
      </c>
      <c r="F1123" s="143" t="s">
        <v>38</v>
      </c>
      <c r="G1123" s="147">
        <v>1000</v>
      </c>
      <c r="H1123" s="146"/>
    </row>
    <row r="1124" spans="2:8" x14ac:dyDescent="0.2">
      <c r="B1124" s="137">
        <f t="shared" si="17"/>
        <v>44</v>
      </c>
      <c r="C1124" s="167" t="str">
        <f>TEXT(Таблица8[[#This Row],[Дата]],"М")</f>
        <v>10</v>
      </c>
      <c r="D1124" s="139">
        <v>44858</v>
      </c>
      <c r="E1124" s="137" t="s">
        <v>71</v>
      </c>
      <c r="F1124" s="137" t="s">
        <v>94</v>
      </c>
      <c r="G1124" s="140">
        <v>64</v>
      </c>
      <c r="H1124" s="141"/>
    </row>
    <row r="1125" spans="2:8" x14ac:dyDescent="0.2">
      <c r="B1125" s="143">
        <f t="shared" si="17"/>
        <v>44</v>
      </c>
      <c r="C1125" s="138" t="str">
        <f>TEXT(Таблица8[[#This Row],[Дата]],"М")</f>
        <v>10</v>
      </c>
      <c r="D1125" s="144">
        <v>44858</v>
      </c>
      <c r="E1125" s="143" t="s">
        <v>20</v>
      </c>
      <c r="F1125" s="143" t="s">
        <v>99</v>
      </c>
      <c r="G1125" s="147">
        <v>257</v>
      </c>
      <c r="H1125" s="146"/>
    </row>
    <row r="1126" spans="2:8" x14ac:dyDescent="0.2">
      <c r="B1126" s="143">
        <f t="shared" si="17"/>
        <v>44</v>
      </c>
      <c r="C1126" s="138" t="str">
        <f>TEXT(Таблица8[[#This Row],[Дата]],"М")</f>
        <v>10</v>
      </c>
      <c r="D1126" s="144">
        <v>44858</v>
      </c>
      <c r="E1126" s="143" t="s">
        <v>19</v>
      </c>
      <c r="F1126" s="143" t="s">
        <v>96</v>
      </c>
      <c r="G1126" s="147">
        <v>111</v>
      </c>
      <c r="H1126" s="146"/>
    </row>
    <row r="1127" spans="2:8" x14ac:dyDescent="0.2">
      <c r="B1127" s="137">
        <f t="shared" si="17"/>
        <v>44</v>
      </c>
      <c r="C1127" s="167" t="str">
        <f>TEXT(Таблица8[[#This Row],[Дата]],"М")</f>
        <v>10</v>
      </c>
      <c r="D1127" s="139">
        <v>44859</v>
      </c>
      <c r="E1127" s="137" t="s">
        <v>72</v>
      </c>
      <c r="F1127" s="137" t="s">
        <v>132</v>
      </c>
      <c r="G1127" s="140">
        <v>140</v>
      </c>
      <c r="H1127" s="141"/>
    </row>
    <row r="1128" spans="2:8" x14ac:dyDescent="0.2">
      <c r="B1128" s="143">
        <f t="shared" si="17"/>
        <v>44</v>
      </c>
      <c r="C1128" s="138" t="str">
        <f>TEXT(Таблица8[[#This Row],[Дата]],"М")</f>
        <v>10</v>
      </c>
      <c r="D1128" s="144">
        <v>44859</v>
      </c>
      <c r="E1128" s="143" t="s">
        <v>22</v>
      </c>
      <c r="F1128" s="143" t="s">
        <v>38</v>
      </c>
      <c r="G1128" s="147">
        <v>20</v>
      </c>
      <c r="H1128" s="146"/>
    </row>
    <row r="1129" spans="2:8" x14ac:dyDescent="0.2">
      <c r="B1129" s="143">
        <f t="shared" si="17"/>
        <v>44</v>
      </c>
      <c r="C1129" s="138" t="str">
        <f>TEXT(Таблица8[[#This Row],[Дата]],"М")</f>
        <v>10</v>
      </c>
      <c r="D1129" s="144">
        <v>44859</v>
      </c>
      <c r="E1129" s="143" t="s">
        <v>20</v>
      </c>
      <c r="F1129" s="143" t="s">
        <v>136</v>
      </c>
      <c r="G1129" s="147">
        <f>576+53</f>
        <v>629</v>
      </c>
      <c r="H1129" s="146"/>
    </row>
    <row r="1130" spans="2:8" x14ac:dyDescent="0.2">
      <c r="B1130" s="137">
        <f t="shared" si="17"/>
        <v>44</v>
      </c>
      <c r="C1130" s="167" t="str">
        <f>TEXT(Таблица8[[#This Row],[Дата]],"М")</f>
        <v>10</v>
      </c>
      <c r="D1130" s="139">
        <v>44860</v>
      </c>
      <c r="E1130" s="137" t="s">
        <v>71</v>
      </c>
      <c r="F1130" s="137" t="s">
        <v>94</v>
      </c>
      <c r="G1130" s="140">
        <v>64</v>
      </c>
      <c r="H1130" s="141"/>
    </row>
    <row r="1131" spans="2:8" x14ac:dyDescent="0.2">
      <c r="B1131" s="143">
        <f t="shared" si="17"/>
        <v>44</v>
      </c>
      <c r="C1131" s="138" t="str">
        <f>TEXT(Таблица8[[#This Row],[Дата]],"М")</f>
        <v>10</v>
      </c>
      <c r="D1131" s="144">
        <v>44860</v>
      </c>
      <c r="E1131" s="143" t="s">
        <v>23</v>
      </c>
      <c r="F1131" s="143" t="s">
        <v>103</v>
      </c>
      <c r="G1131" s="147">
        <v>700</v>
      </c>
      <c r="H1131" s="146"/>
    </row>
    <row r="1132" spans="2:8" x14ac:dyDescent="0.2">
      <c r="B1132" s="143">
        <f t="shared" si="17"/>
        <v>44</v>
      </c>
      <c r="C1132" s="138" t="str">
        <f>TEXT(Таблица8[[#This Row],[Дата]],"М")</f>
        <v>10</v>
      </c>
      <c r="D1132" s="144">
        <v>44860</v>
      </c>
      <c r="E1132" s="143" t="s">
        <v>19</v>
      </c>
      <c r="F1132" s="143" t="s">
        <v>96</v>
      </c>
      <c r="G1132" s="147">
        <v>95</v>
      </c>
      <c r="H1132" s="146"/>
    </row>
    <row r="1133" spans="2:8" x14ac:dyDescent="0.2">
      <c r="B1133" s="143">
        <f t="shared" si="17"/>
        <v>44</v>
      </c>
      <c r="C1133" s="138" t="str">
        <f>TEXT(Таблица8[[#This Row],[Дата]],"М")</f>
        <v>10</v>
      </c>
      <c r="D1133" s="144">
        <v>44860</v>
      </c>
      <c r="E1133" s="143" t="s">
        <v>20</v>
      </c>
      <c r="F1133" s="143" t="s">
        <v>95</v>
      </c>
      <c r="G1133" s="147">
        <v>526</v>
      </c>
      <c r="H1133" s="146"/>
    </row>
    <row r="1134" spans="2:8" x14ac:dyDescent="0.2">
      <c r="B1134" s="137">
        <f t="shared" si="17"/>
        <v>44</v>
      </c>
      <c r="C1134" s="167" t="str">
        <f>TEXT(Таблица8[[#This Row],[Дата]],"М")</f>
        <v>10</v>
      </c>
      <c r="D1134" s="139">
        <v>44861</v>
      </c>
      <c r="E1134" s="137" t="s">
        <v>23</v>
      </c>
      <c r="F1134" s="137" t="s">
        <v>137</v>
      </c>
      <c r="G1134" s="140">
        <f>500+252</f>
        <v>752</v>
      </c>
      <c r="H1134" s="141"/>
    </row>
    <row r="1135" spans="2:8" x14ac:dyDescent="0.2">
      <c r="B1135" s="143">
        <f t="shared" si="17"/>
        <v>44</v>
      </c>
      <c r="C1135" s="138" t="str">
        <f>TEXT(Таблица8[[#This Row],[Дата]],"М")</f>
        <v>10</v>
      </c>
      <c r="D1135" s="144">
        <v>44861</v>
      </c>
      <c r="E1135" s="143" t="s">
        <v>23</v>
      </c>
      <c r="F1135" s="143" t="s">
        <v>103</v>
      </c>
      <c r="G1135" s="147">
        <v>250</v>
      </c>
      <c r="H1135" s="146"/>
    </row>
    <row r="1136" spans="2:8" x14ac:dyDescent="0.2">
      <c r="B1136" s="143">
        <f t="shared" si="17"/>
        <v>44</v>
      </c>
      <c r="C1136" s="138" t="str">
        <f>TEXT(Таблица8[[#This Row],[Дата]],"М")</f>
        <v>10</v>
      </c>
      <c r="D1136" s="144">
        <v>44861</v>
      </c>
      <c r="E1136" s="143" t="s">
        <v>72</v>
      </c>
      <c r="F1136" s="143" t="s">
        <v>132</v>
      </c>
      <c r="G1136" s="147">
        <v>2000</v>
      </c>
      <c r="H1136" s="146"/>
    </row>
    <row r="1137" spans="2:8" x14ac:dyDescent="0.2">
      <c r="B1137" s="143">
        <f t="shared" si="17"/>
        <v>44</v>
      </c>
      <c r="C1137" s="138" t="str">
        <f>TEXT(Таблица8[[#This Row],[Дата]],"М")</f>
        <v>10</v>
      </c>
      <c r="D1137" s="144">
        <v>44861</v>
      </c>
      <c r="E1137" s="143" t="s">
        <v>72</v>
      </c>
      <c r="F1137" s="143" t="s">
        <v>44</v>
      </c>
      <c r="G1137" s="147">
        <v>500</v>
      </c>
      <c r="H1137" s="146"/>
    </row>
    <row r="1138" spans="2:8" x14ac:dyDescent="0.2">
      <c r="B1138" s="143">
        <f t="shared" si="17"/>
        <v>44</v>
      </c>
      <c r="C1138" s="138" t="str">
        <f>TEXT(Таблица8[[#This Row],[Дата]],"М")</f>
        <v>10</v>
      </c>
      <c r="D1138" s="144">
        <v>44861</v>
      </c>
      <c r="E1138" s="143" t="s">
        <v>72</v>
      </c>
      <c r="F1138" s="143" t="s">
        <v>40</v>
      </c>
      <c r="G1138" s="147">
        <v>1000</v>
      </c>
      <c r="H1138" s="146"/>
    </row>
    <row r="1139" spans="2:8" x14ac:dyDescent="0.2">
      <c r="B1139" s="143">
        <f t="shared" si="17"/>
        <v>44</v>
      </c>
      <c r="C1139" s="138" t="str">
        <f>TEXT(Таблица8[[#This Row],[Дата]],"М")</f>
        <v>10</v>
      </c>
      <c r="D1139" s="144">
        <v>44861</v>
      </c>
      <c r="E1139" s="143" t="s">
        <v>72</v>
      </c>
      <c r="F1139" s="143" t="s">
        <v>38</v>
      </c>
      <c r="G1139" s="147">
        <v>200</v>
      </c>
      <c r="H1139" s="146"/>
    </row>
    <row r="1140" spans="2:8" x14ac:dyDescent="0.2">
      <c r="B1140" s="143">
        <f t="shared" ref="B1140:B1203" si="18">WEEKNUM(D1140)</f>
        <v>44</v>
      </c>
      <c r="C1140" s="138" t="str">
        <f>TEXT(Таблица8[[#This Row],[Дата]],"М")</f>
        <v>10</v>
      </c>
      <c r="D1140" s="144">
        <v>44861</v>
      </c>
      <c r="E1140" s="143" t="s">
        <v>72</v>
      </c>
      <c r="F1140" s="143" t="s">
        <v>124</v>
      </c>
      <c r="G1140" s="147">
        <v>300</v>
      </c>
      <c r="H1140" s="146"/>
    </row>
    <row r="1141" spans="2:8" x14ac:dyDescent="0.2">
      <c r="B1141" s="143">
        <f t="shared" si="18"/>
        <v>44</v>
      </c>
      <c r="C1141" s="138" t="str">
        <f>TEXT(Таблица8[[#This Row],[Дата]],"М")</f>
        <v>10</v>
      </c>
      <c r="D1141" s="144">
        <v>44861</v>
      </c>
      <c r="E1141" s="143" t="s">
        <v>19</v>
      </c>
      <c r="F1141" s="143" t="s">
        <v>96</v>
      </c>
      <c r="G1141" s="147">
        <f>1030+228</f>
        <v>1258</v>
      </c>
      <c r="H1141" s="146"/>
    </row>
    <row r="1142" spans="2:8" x14ac:dyDescent="0.2">
      <c r="B1142" s="137">
        <f t="shared" si="18"/>
        <v>44</v>
      </c>
      <c r="C1142" s="167" t="str">
        <f>TEXT(Таблица8[[#This Row],[Дата]],"М")</f>
        <v>10</v>
      </c>
      <c r="D1142" s="139">
        <v>44862</v>
      </c>
      <c r="E1142" s="137" t="s">
        <v>71</v>
      </c>
      <c r="F1142" s="137" t="s">
        <v>94</v>
      </c>
      <c r="G1142" s="140">
        <v>64</v>
      </c>
      <c r="H1142" s="141"/>
    </row>
    <row r="1143" spans="2:8" x14ac:dyDescent="0.2">
      <c r="B1143" s="143">
        <f t="shared" si="18"/>
        <v>44</v>
      </c>
      <c r="C1143" s="138" t="str">
        <f>TEXT(Таблица8[[#This Row],[Дата]],"М")</f>
        <v>10</v>
      </c>
      <c r="D1143" s="144">
        <v>44862</v>
      </c>
      <c r="E1143" s="143" t="s">
        <v>20</v>
      </c>
      <c r="F1143" s="143" t="s">
        <v>99</v>
      </c>
      <c r="G1143" s="147">
        <f>19+142</f>
        <v>161</v>
      </c>
      <c r="H1143" s="146"/>
    </row>
    <row r="1144" spans="2:8" x14ac:dyDescent="0.2">
      <c r="B1144" s="143">
        <f t="shared" si="18"/>
        <v>44</v>
      </c>
      <c r="C1144" s="138" t="str">
        <f>TEXT(Таблица8[[#This Row],[Дата]],"М")</f>
        <v>10</v>
      </c>
      <c r="D1144" s="144">
        <v>44862</v>
      </c>
      <c r="E1144" s="143" t="s">
        <v>29</v>
      </c>
      <c r="F1144" s="143" t="s">
        <v>105</v>
      </c>
      <c r="G1144" s="147">
        <v>250</v>
      </c>
      <c r="H1144" s="146"/>
    </row>
    <row r="1145" spans="2:8" x14ac:dyDescent="0.2">
      <c r="B1145" s="143">
        <f t="shared" si="18"/>
        <v>44</v>
      </c>
      <c r="C1145" s="138" t="str">
        <f>TEXT(Таблица8[[#This Row],[Дата]],"М")</f>
        <v>10</v>
      </c>
      <c r="D1145" s="144">
        <v>44862</v>
      </c>
      <c r="E1145" s="143" t="s">
        <v>72</v>
      </c>
      <c r="F1145" s="143" t="s">
        <v>132</v>
      </c>
      <c r="G1145" s="147">
        <v>1000</v>
      </c>
      <c r="H1145" s="146"/>
    </row>
    <row r="1146" spans="2:8" x14ac:dyDescent="0.2">
      <c r="B1146" s="143">
        <f t="shared" si="18"/>
        <v>44</v>
      </c>
      <c r="C1146" s="138" t="str">
        <f>TEXT(Таблица8[[#This Row],[Дата]],"М")</f>
        <v>10</v>
      </c>
      <c r="D1146" s="144">
        <v>44862</v>
      </c>
      <c r="E1146" s="143" t="s">
        <v>72</v>
      </c>
      <c r="F1146" s="143" t="s">
        <v>124</v>
      </c>
      <c r="G1146" s="147">
        <v>200</v>
      </c>
      <c r="H1146" s="146"/>
    </row>
    <row r="1147" spans="2:8" x14ac:dyDescent="0.2">
      <c r="B1147" s="143">
        <f t="shared" si="18"/>
        <v>44</v>
      </c>
      <c r="C1147" s="138" t="str">
        <f>TEXT(Таблица8[[#This Row],[Дата]],"М")</f>
        <v>10</v>
      </c>
      <c r="D1147" s="144">
        <v>44862</v>
      </c>
      <c r="E1147" s="143" t="s">
        <v>72</v>
      </c>
      <c r="F1147" s="143" t="s">
        <v>44</v>
      </c>
      <c r="G1147" s="147">
        <v>200</v>
      </c>
      <c r="H1147" s="146"/>
    </row>
    <row r="1148" spans="2:8" x14ac:dyDescent="0.2">
      <c r="B1148" s="143">
        <f t="shared" si="18"/>
        <v>44</v>
      </c>
      <c r="C1148" s="138" t="str">
        <f>TEXT(Таблица8[[#This Row],[Дата]],"М")</f>
        <v>10</v>
      </c>
      <c r="D1148" s="144">
        <v>44862</v>
      </c>
      <c r="E1148" s="143" t="s">
        <v>72</v>
      </c>
      <c r="F1148" s="143" t="s">
        <v>40</v>
      </c>
      <c r="G1148" s="147">
        <v>500</v>
      </c>
      <c r="H1148" s="146"/>
    </row>
    <row r="1149" spans="2:8" x14ac:dyDescent="0.2">
      <c r="B1149" s="143">
        <f t="shared" si="18"/>
        <v>44</v>
      </c>
      <c r="C1149" s="138" t="str">
        <f>TEXT(Таблица8[[#This Row],[Дата]],"М")</f>
        <v>10</v>
      </c>
      <c r="D1149" s="144">
        <v>44862</v>
      </c>
      <c r="E1149" s="143" t="s">
        <v>72</v>
      </c>
      <c r="F1149" s="143" t="s">
        <v>38</v>
      </c>
      <c r="G1149" s="147">
        <v>200</v>
      </c>
      <c r="H1149" s="146"/>
    </row>
    <row r="1150" spans="2:8" x14ac:dyDescent="0.2">
      <c r="B1150" s="137">
        <f t="shared" si="18"/>
        <v>44</v>
      </c>
      <c r="C1150" s="167" t="str">
        <f>TEXT(Таблица8[[#This Row],[Дата]],"М")</f>
        <v>10</v>
      </c>
      <c r="D1150" s="139">
        <v>44863</v>
      </c>
      <c r="E1150" s="137" t="s">
        <v>71</v>
      </c>
      <c r="F1150" s="137" t="s">
        <v>94</v>
      </c>
      <c r="G1150" s="140">
        <v>64</v>
      </c>
      <c r="H1150" s="141"/>
    </row>
    <row r="1151" spans="2:8" x14ac:dyDescent="0.2">
      <c r="B1151" s="143">
        <f t="shared" si="18"/>
        <v>44</v>
      </c>
      <c r="C1151" s="138" t="str">
        <f>TEXT(Таблица8[[#This Row],[Дата]],"М")</f>
        <v>10</v>
      </c>
      <c r="D1151" s="144">
        <v>44863</v>
      </c>
      <c r="E1151" s="143" t="s">
        <v>20</v>
      </c>
      <c r="F1151" s="143" t="s">
        <v>99</v>
      </c>
      <c r="G1151" s="147">
        <v>182</v>
      </c>
      <c r="H1151" s="146"/>
    </row>
    <row r="1152" spans="2:8" x14ac:dyDescent="0.2">
      <c r="B1152" s="143">
        <f t="shared" si="18"/>
        <v>44</v>
      </c>
      <c r="C1152" s="138" t="str">
        <f>TEXT(Таблица8[[#This Row],[Дата]],"М")</f>
        <v>10</v>
      </c>
      <c r="D1152" s="144">
        <v>44863</v>
      </c>
      <c r="E1152" s="143" t="s">
        <v>20</v>
      </c>
      <c r="F1152" s="143" t="s">
        <v>95</v>
      </c>
      <c r="G1152" s="147">
        <v>35</v>
      </c>
      <c r="H1152" s="146"/>
    </row>
    <row r="1153" spans="2:8" x14ac:dyDescent="0.2">
      <c r="B1153" s="143">
        <f t="shared" si="18"/>
        <v>44</v>
      </c>
      <c r="C1153" s="138" t="str">
        <f>TEXT(Таблица8[[#This Row],[Дата]],"М")</f>
        <v>10</v>
      </c>
      <c r="D1153" s="144">
        <v>44863</v>
      </c>
      <c r="E1153" s="143" t="s">
        <v>72</v>
      </c>
      <c r="F1153" s="143" t="s">
        <v>132</v>
      </c>
      <c r="G1153" s="147">
        <v>200</v>
      </c>
      <c r="H1153" s="146"/>
    </row>
    <row r="1154" spans="2:8" x14ac:dyDescent="0.2">
      <c r="B1154" s="137">
        <f t="shared" si="18"/>
        <v>45</v>
      </c>
      <c r="C1154" s="167" t="str">
        <f>TEXT(Таблица8[[#This Row],[Дата]],"М")</f>
        <v>10</v>
      </c>
      <c r="D1154" s="139">
        <v>44864</v>
      </c>
      <c r="E1154" s="137" t="s">
        <v>71</v>
      </c>
      <c r="F1154" s="137" t="s">
        <v>94</v>
      </c>
      <c r="G1154" s="140">
        <v>64</v>
      </c>
      <c r="H1154" s="141"/>
    </row>
    <row r="1155" spans="2:8" x14ac:dyDescent="0.2">
      <c r="B1155" s="143">
        <f t="shared" si="18"/>
        <v>45</v>
      </c>
      <c r="C1155" s="138" t="str">
        <f>TEXT(Таблица8[[#This Row],[Дата]],"М")</f>
        <v>10</v>
      </c>
      <c r="D1155" s="144">
        <v>44864</v>
      </c>
      <c r="E1155" s="143" t="s">
        <v>72</v>
      </c>
      <c r="F1155" s="143" t="s">
        <v>132</v>
      </c>
      <c r="G1155" s="147">
        <v>150</v>
      </c>
      <c r="H1155" s="146"/>
    </row>
    <row r="1156" spans="2:8" x14ac:dyDescent="0.2">
      <c r="B1156" s="143">
        <f t="shared" si="18"/>
        <v>45</v>
      </c>
      <c r="C1156" s="138" t="str">
        <f>TEXT(Таблица8[[#This Row],[Дата]],"М")</f>
        <v>10</v>
      </c>
      <c r="D1156" s="144">
        <v>44864</v>
      </c>
      <c r="E1156" s="143" t="s">
        <v>20</v>
      </c>
      <c r="F1156" s="143" t="s">
        <v>99</v>
      </c>
      <c r="G1156" s="147">
        <f>117+344</f>
        <v>461</v>
      </c>
      <c r="H1156" s="146"/>
    </row>
    <row r="1157" spans="2:8" x14ac:dyDescent="0.2">
      <c r="B1157" s="137">
        <f t="shared" si="18"/>
        <v>45</v>
      </c>
      <c r="C1157" s="167" t="str">
        <f>TEXT(Таблица8[[#This Row],[Дата]],"М")</f>
        <v>10</v>
      </c>
      <c r="D1157" s="139">
        <v>44865</v>
      </c>
      <c r="E1157" s="137" t="s">
        <v>19</v>
      </c>
      <c r="F1157" s="137" t="s">
        <v>96</v>
      </c>
      <c r="G1157" s="140">
        <v>611</v>
      </c>
      <c r="H1157" s="141"/>
    </row>
    <row r="1158" spans="2:8" x14ac:dyDescent="0.2">
      <c r="B1158" s="143">
        <f t="shared" si="18"/>
        <v>45</v>
      </c>
      <c r="C1158" s="138" t="str">
        <f>TEXT(Таблица8[[#This Row],[Дата]],"М")</f>
        <v>10</v>
      </c>
      <c r="D1158" s="144">
        <v>44865</v>
      </c>
      <c r="E1158" s="143" t="s">
        <v>72</v>
      </c>
      <c r="F1158" s="143" t="s">
        <v>45</v>
      </c>
      <c r="G1158" s="147">
        <v>10000</v>
      </c>
      <c r="H1158" s="146"/>
    </row>
    <row r="1159" spans="2:8" x14ac:dyDescent="0.2">
      <c r="B1159" s="137">
        <f t="shared" si="18"/>
        <v>45</v>
      </c>
      <c r="C1159" s="167" t="str">
        <f>TEXT(Таблица8[[#This Row],[Дата]],"М")</f>
        <v>11</v>
      </c>
      <c r="D1159" s="139">
        <v>44866</v>
      </c>
      <c r="E1159" s="137" t="s">
        <v>71</v>
      </c>
      <c r="F1159" s="137" t="s">
        <v>115</v>
      </c>
      <c r="G1159" s="140">
        <f>276*2</f>
        <v>552</v>
      </c>
      <c r="H1159" s="141"/>
    </row>
    <row r="1160" spans="2:8" x14ac:dyDescent="0.2">
      <c r="B1160" s="143">
        <f t="shared" si="18"/>
        <v>45</v>
      </c>
      <c r="C1160" s="138" t="str">
        <f>TEXT(Таблица8[[#This Row],[Дата]],"М")</f>
        <v>11</v>
      </c>
      <c r="D1160" s="144">
        <v>44866</v>
      </c>
      <c r="E1160" s="143" t="s">
        <v>20</v>
      </c>
      <c r="F1160" s="143" t="s">
        <v>95</v>
      </c>
      <c r="G1160" s="147">
        <v>26</v>
      </c>
      <c r="H1160" s="146"/>
    </row>
    <row r="1161" spans="2:8" x14ac:dyDescent="0.2">
      <c r="B1161" s="137">
        <f t="shared" si="18"/>
        <v>45</v>
      </c>
      <c r="C1161" s="167" t="str">
        <f>TEXT(Таблица8[[#This Row],[Дата]],"М")</f>
        <v>11</v>
      </c>
      <c r="D1161" s="139">
        <v>44867</v>
      </c>
      <c r="E1161" s="137" t="s">
        <v>26</v>
      </c>
      <c r="F1161" s="137" t="s">
        <v>120</v>
      </c>
      <c r="G1161" s="140">
        <f>590</f>
        <v>590</v>
      </c>
      <c r="H1161" s="141"/>
    </row>
    <row r="1162" spans="2:8" x14ac:dyDescent="0.2">
      <c r="B1162" s="143">
        <f t="shared" si="18"/>
        <v>45</v>
      </c>
      <c r="C1162" s="138" t="str">
        <f>TEXT(Таблица8[[#This Row],[Дата]],"М")</f>
        <v>11</v>
      </c>
      <c r="D1162" s="144">
        <v>44867</v>
      </c>
      <c r="E1162" s="143" t="s">
        <v>19</v>
      </c>
      <c r="F1162" s="143" t="s">
        <v>96</v>
      </c>
      <c r="G1162" s="147">
        <f>110+164</f>
        <v>274</v>
      </c>
      <c r="H1162" s="146"/>
    </row>
    <row r="1163" spans="2:8" x14ac:dyDescent="0.2">
      <c r="B1163" s="143">
        <f t="shared" si="18"/>
        <v>45</v>
      </c>
      <c r="C1163" s="138" t="str">
        <f>TEXT(Таблица8[[#This Row],[Дата]],"М")</f>
        <v>11</v>
      </c>
      <c r="D1163" s="144">
        <v>44867</v>
      </c>
      <c r="E1163" s="143" t="s">
        <v>72</v>
      </c>
      <c r="F1163" s="143" t="s">
        <v>132</v>
      </c>
      <c r="G1163" s="147">
        <v>150</v>
      </c>
      <c r="H1163" s="146"/>
    </row>
    <row r="1164" spans="2:8" x14ac:dyDescent="0.2">
      <c r="B1164" s="137">
        <f t="shared" si="18"/>
        <v>45</v>
      </c>
      <c r="C1164" s="167" t="str">
        <f>TEXT(Таблица8[[#This Row],[Дата]],"М")</f>
        <v>11</v>
      </c>
      <c r="D1164" s="139">
        <v>44868</v>
      </c>
      <c r="E1164" s="137" t="s">
        <v>71</v>
      </c>
      <c r="F1164" s="137" t="s">
        <v>94</v>
      </c>
      <c r="G1164" s="140">
        <v>64</v>
      </c>
      <c r="H1164" s="141"/>
    </row>
    <row r="1165" spans="2:8" x14ac:dyDescent="0.2">
      <c r="B1165" s="143">
        <f t="shared" si="18"/>
        <v>45</v>
      </c>
      <c r="C1165" s="138" t="str">
        <f>TEXT(Таблица8[[#This Row],[Дата]],"М")</f>
        <v>11</v>
      </c>
      <c r="D1165" s="144">
        <v>44868</v>
      </c>
      <c r="E1165" s="143" t="s">
        <v>20</v>
      </c>
      <c r="F1165" s="143" t="s">
        <v>99</v>
      </c>
      <c r="G1165" s="147">
        <v>280</v>
      </c>
      <c r="H1165" s="146"/>
    </row>
    <row r="1166" spans="2:8" x14ac:dyDescent="0.2">
      <c r="B1166" s="143">
        <f t="shared" si="18"/>
        <v>45</v>
      </c>
      <c r="C1166" s="138" t="str">
        <f>TEXT(Таблица8[[#This Row],[Дата]],"М")</f>
        <v>11</v>
      </c>
      <c r="D1166" s="144">
        <v>44868</v>
      </c>
      <c r="E1166" s="143" t="s">
        <v>20</v>
      </c>
      <c r="F1166" s="143" t="s">
        <v>95</v>
      </c>
      <c r="G1166" s="147">
        <v>35</v>
      </c>
      <c r="H1166" s="146"/>
    </row>
    <row r="1167" spans="2:8" x14ac:dyDescent="0.2">
      <c r="B1167" s="143">
        <f t="shared" si="18"/>
        <v>45</v>
      </c>
      <c r="C1167" s="138" t="str">
        <f>TEXT(Таблица8[[#This Row],[Дата]],"М")</f>
        <v>11</v>
      </c>
      <c r="D1167" s="144">
        <v>44868</v>
      </c>
      <c r="E1167" s="143" t="s">
        <v>72</v>
      </c>
      <c r="F1167" s="143" t="s">
        <v>132</v>
      </c>
      <c r="G1167" s="147">
        <v>100</v>
      </c>
      <c r="H1167" s="146"/>
    </row>
    <row r="1168" spans="2:8" x14ac:dyDescent="0.2">
      <c r="B1168" s="137">
        <f t="shared" si="18"/>
        <v>45</v>
      </c>
      <c r="C1168" s="167" t="str">
        <f>TEXT(Таблица8[[#This Row],[Дата]],"М")</f>
        <v>11</v>
      </c>
      <c r="D1168" s="139">
        <v>44869</v>
      </c>
      <c r="E1168" s="137" t="s">
        <v>71</v>
      </c>
      <c r="F1168" s="137" t="s">
        <v>94</v>
      </c>
      <c r="G1168" s="140">
        <v>64</v>
      </c>
      <c r="H1168" s="141"/>
    </row>
    <row r="1169" spans="2:8" x14ac:dyDescent="0.2">
      <c r="B1169" s="143">
        <f t="shared" si="18"/>
        <v>45</v>
      </c>
      <c r="C1169" s="138" t="str">
        <f>TEXT(Таблица8[[#This Row],[Дата]],"М")</f>
        <v>11</v>
      </c>
      <c r="D1169" s="144">
        <v>44869</v>
      </c>
      <c r="E1169" s="143" t="s">
        <v>20</v>
      </c>
      <c r="F1169" s="143" t="s">
        <v>99</v>
      </c>
      <c r="G1169" s="147">
        <v>329</v>
      </c>
      <c r="H1169" s="146"/>
    </row>
    <row r="1170" spans="2:8" x14ac:dyDescent="0.2">
      <c r="B1170" s="143">
        <f t="shared" si="18"/>
        <v>45</v>
      </c>
      <c r="C1170" s="138" t="str">
        <f>TEXT(Таблица8[[#This Row],[Дата]],"М")</f>
        <v>11</v>
      </c>
      <c r="D1170" s="144">
        <v>44869</v>
      </c>
      <c r="E1170" s="143" t="s">
        <v>72</v>
      </c>
      <c r="F1170" s="143" t="s">
        <v>132</v>
      </c>
      <c r="G1170" s="147">
        <v>100</v>
      </c>
      <c r="H1170" s="146"/>
    </row>
    <row r="1171" spans="2:8" x14ac:dyDescent="0.2">
      <c r="B1171" s="143">
        <f t="shared" si="18"/>
        <v>45</v>
      </c>
      <c r="C1171" s="138" t="str">
        <f>TEXT(Таблица8[[#This Row],[Дата]],"М")</f>
        <v>11</v>
      </c>
      <c r="D1171" s="144">
        <v>44869</v>
      </c>
      <c r="E1171" s="143" t="s">
        <v>19</v>
      </c>
      <c r="F1171" s="143" t="s">
        <v>96</v>
      </c>
      <c r="G1171" s="147">
        <v>84</v>
      </c>
      <c r="H1171" s="146"/>
    </row>
    <row r="1172" spans="2:8" x14ac:dyDescent="0.2">
      <c r="B1172" s="137">
        <f t="shared" si="18"/>
        <v>45</v>
      </c>
      <c r="C1172" s="167" t="str">
        <f>TEXT(Таблица8[[#This Row],[Дата]],"М")</f>
        <v>11</v>
      </c>
      <c r="D1172" s="139">
        <v>44870</v>
      </c>
      <c r="E1172" s="137" t="s">
        <v>71</v>
      </c>
      <c r="F1172" s="137" t="s">
        <v>94</v>
      </c>
      <c r="G1172" s="140">
        <v>64</v>
      </c>
      <c r="H1172" s="141"/>
    </row>
    <row r="1173" spans="2:8" x14ac:dyDescent="0.2">
      <c r="B1173" s="143">
        <f t="shared" si="18"/>
        <v>45</v>
      </c>
      <c r="C1173" s="138" t="str">
        <f>TEXT(Таблица8[[#This Row],[Дата]],"М")</f>
        <v>11</v>
      </c>
      <c r="D1173" s="144">
        <v>44870</v>
      </c>
      <c r="E1173" s="143" t="s">
        <v>20</v>
      </c>
      <c r="F1173" s="143" t="s">
        <v>99</v>
      </c>
      <c r="G1173" s="147">
        <v>260</v>
      </c>
      <c r="H1173" s="146"/>
    </row>
    <row r="1174" spans="2:8" x14ac:dyDescent="0.2">
      <c r="B1174" s="143">
        <f t="shared" si="18"/>
        <v>45</v>
      </c>
      <c r="C1174" s="138" t="str">
        <f>TEXT(Таблица8[[#This Row],[Дата]],"М")</f>
        <v>11</v>
      </c>
      <c r="D1174" s="144">
        <v>44870</v>
      </c>
      <c r="E1174" s="143" t="s">
        <v>19</v>
      </c>
      <c r="F1174" s="143" t="s">
        <v>96</v>
      </c>
      <c r="G1174" s="147">
        <v>90</v>
      </c>
      <c r="H1174" s="146"/>
    </row>
    <row r="1175" spans="2:8" x14ac:dyDescent="0.2">
      <c r="B1175" s="137">
        <f t="shared" si="18"/>
        <v>46</v>
      </c>
      <c r="C1175" s="167" t="str">
        <f>TEXT(Таблица8[[#This Row],[Дата]],"М")</f>
        <v>11</v>
      </c>
      <c r="D1175" s="139">
        <v>44871</v>
      </c>
      <c r="E1175" s="137" t="s">
        <v>19</v>
      </c>
      <c r="F1175" s="137" t="s">
        <v>96</v>
      </c>
      <c r="G1175" s="140">
        <v>274</v>
      </c>
      <c r="H1175" s="141"/>
    </row>
    <row r="1176" spans="2:8" x14ac:dyDescent="0.2">
      <c r="B1176" s="143">
        <f t="shared" si="18"/>
        <v>46</v>
      </c>
      <c r="C1176" s="138" t="str">
        <f>TEXT(Таблица8[[#This Row],[Дата]],"М")</f>
        <v>11</v>
      </c>
      <c r="D1176" s="144">
        <v>44871</v>
      </c>
      <c r="E1176" s="143" t="s">
        <v>20</v>
      </c>
      <c r="F1176" s="143" t="s">
        <v>95</v>
      </c>
      <c r="G1176" s="147">
        <f>500+170</f>
        <v>670</v>
      </c>
      <c r="H1176" s="146"/>
    </row>
    <row r="1177" spans="2:8" x14ac:dyDescent="0.2">
      <c r="B1177" s="137">
        <f t="shared" si="18"/>
        <v>46</v>
      </c>
      <c r="C1177" s="167" t="str">
        <f>TEXT(Таблица8[[#This Row],[Дата]],"М")</f>
        <v>11</v>
      </c>
      <c r="D1177" s="139">
        <v>44872</v>
      </c>
      <c r="E1177" s="137" t="s">
        <v>19</v>
      </c>
      <c r="F1177" s="137" t="s">
        <v>96</v>
      </c>
      <c r="G1177" s="140">
        <f>873+292+58</f>
        <v>1223</v>
      </c>
      <c r="H1177" s="141"/>
    </row>
    <row r="1178" spans="2:8" x14ac:dyDescent="0.2">
      <c r="B1178" s="143">
        <f t="shared" si="18"/>
        <v>46</v>
      </c>
      <c r="C1178" s="138" t="str">
        <f>TEXT(Таблица8[[#This Row],[Дата]],"М")</f>
        <v>11</v>
      </c>
      <c r="D1178" s="144">
        <v>44872</v>
      </c>
      <c r="E1178" s="143" t="s">
        <v>20</v>
      </c>
      <c r="F1178" s="143" t="s">
        <v>118</v>
      </c>
      <c r="G1178" s="147">
        <v>149</v>
      </c>
      <c r="H1178" s="146"/>
    </row>
    <row r="1179" spans="2:8" x14ac:dyDescent="0.2">
      <c r="B1179" s="143">
        <f t="shared" si="18"/>
        <v>46</v>
      </c>
      <c r="C1179" s="138" t="str">
        <f>TEXT(Таблица8[[#This Row],[Дата]],"М")</f>
        <v>11</v>
      </c>
      <c r="D1179" s="144">
        <v>44872</v>
      </c>
      <c r="E1179" s="143" t="s">
        <v>22</v>
      </c>
      <c r="F1179" s="143" t="s">
        <v>38</v>
      </c>
      <c r="G1179" s="147">
        <v>10</v>
      </c>
      <c r="H1179" s="146"/>
    </row>
    <row r="1180" spans="2:8" x14ac:dyDescent="0.2">
      <c r="B1180" s="137">
        <f t="shared" si="18"/>
        <v>46</v>
      </c>
      <c r="C1180" s="167" t="str">
        <f>TEXT(Таблица8[[#This Row],[Дата]],"М")</f>
        <v>11</v>
      </c>
      <c r="D1180" s="139">
        <v>44873</v>
      </c>
      <c r="E1180" s="137" t="s">
        <v>23</v>
      </c>
      <c r="F1180" s="137" t="s">
        <v>137</v>
      </c>
      <c r="G1180" s="140">
        <v>500</v>
      </c>
      <c r="H1180" s="141"/>
    </row>
    <row r="1181" spans="2:8" x14ac:dyDescent="0.2">
      <c r="B1181" s="143">
        <f t="shared" si="18"/>
        <v>46</v>
      </c>
      <c r="C1181" s="138" t="str">
        <f>TEXT(Таблица8[[#This Row],[Дата]],"М")</f>
        <v>11</v>
      </c>
      <c r="D1181" s="144">
        <v>44873</v>
      </c>
      <c r="E1181" s="143" t="s">
        <v>22</v>
      </c>
      <c r="F1181" s="143" t="s">
        <v>38</v>
      </c>
      <c r="G1181" s="147">
        <f>680-350</f>
        <v>330</v>
      </c>
      <c r="H1181" s="146"/>
    </row>
    <row r="1182" spans="2:8" x14ac:dyDescent="0.2">
      <c r="B1182" s="143">
        <f t="shared" si="18"/>
        <v>46</v>
      </c>
      <c r="C1182" s="138" t="str">
        <f>TEXT(Таблица8[[#This Row],[Дата]],"М")</f>
        <v>11</v>
      </c>
      <c r="D1182" s="144">
        <v>44873</v>
      </c>
      <c r="E1182" s="143" t="s">
        <v>20</v>
      </c>
      <c r="F1182" s="143" t="s">
        <v>95</v>
      </c>
      <c r="G1182" s="147">
        <v>274</v>
      </c>
      <c r="H1182" s="146"/>
    </row>
    <row r="1183" spans="2:8" x14ac:dyDescent="0.2">
      <c r="B1183" s="137">
        <f t="shared" si="18"/>
        <v>46</v>
      </c>
      <c r="C1183" s="167" t="str">
        <f>TEXT(Таблица8[[#This Row],[Дата]],"М")</f>
        <v>11</v>
      </c>
      <c r="D1183" s="139">
        <v>44874</v>
      </c>
      <c r="E1183" s="137" t="s">
        <v>71</v>
      </c>
      <c r="F1183" s="137" t="s">
        <v>94</v>
      </c>
      <c r="G1183" s="140">
        <v>64</v>
      </c>
      <c r="H1183" s="141"/>
    </row>
    <row r="1184" spans="2:8" x14ac:dyDescent="0.2">
      <c r="B1184" s="143">
        <f t="shared" si="18"/>
        <v>46</v>
      </c>
      <c r="C1184" s="138" t="str">
        <f>TEXT(Таблица8[[#This Row],[Дата]],"М")</f>
        <v>11</v>
      </c>
      <c r="D1184" s="144">
        <v>44874</v>
      </c>
      <c r="E1184" s="143" t="s">
        <v>20</v>
      </c>
      <c r="F1184" s="143" t="s">
        <v>99</v>
      </c>
      <c r="G1184" s="147">
        <v>287</v>
      </c>
      <c r="H1184" s="146"/>
    </row>
    <row r="1185" spans="2:8" x14ac:dyDescent="0.2">
      <c r="B1185" s="137">
        <f t="shared" si="18"/>
        <v>46</v>
      </c>
      <c r="C1185" s="167" t="str">
        <f>TEXT(Таблица8[[#This Row],[Дата]],"М")</f>
        <v>11</v>
      </c>
      <c r="D1185" s="139">
        <v>44875</v>
      </c>
      <c r="E1185" s="137" t="s">
        <v>71</v>
      </c>
      <c r="F1185" s="137" t="s">
        <v>94</v>
      </c>
      <c r="G1185" s="140">
        <v>64</v>
      </c>
      <c r="H1185" s="141"/>
    </row>
    <row r="1186" spans="2:8" x14ac:dyDescent="0.2">
      <c r="B1186" s="143">
        <f t="shared" si="18"/>
        <v>46</v>
      </c>
      <c r="C1186" s="138" t="str">
        <f>TEXT(Таблица8[[#This Row],[Дата]],"М")</f>
        <v>11</v>
      </c>
      <c r="D1186" s="144">
        <v>44875</v>
      </c>
      <c r="E1186" s="143" t="s">
        <v>20</v>
      </c>
      <c r="F1186" s="143" t="s">
        <v>99</v>
      </c>
      <c r="G1186" s="147">
        <v>275</v>
      </c>
      <c r="H1186" s="146"/>
    </row>
    <row r="1187" spans="2:8" x14ac:dyDescent="0.2">
      <c r="B1187" s="143">
        <f t="shared" si="18"/>
        <v>46</v>
      </c>
      <c r="C1187" s="138" t="str">
        <f>TEXT(Таблица8[[#This Row],[Дата]],"М")</f>
        <v>11</v>
      </c>
      <c r="D1187" s="144">
        <v>44875</v>
      </c>
      <c r="E1187" s="143" t="s">
        <v>19</v>
      </c>
      <c r="F1187" s="143" t="s">
        <v>96</v>
      </c>
      <c r="G1187" s="147">
        <v>80</v>
      </c>
      <c r="H1187" s="146"/>
    </row>
    <row r="1188" spans="2:8" x14ac:dyDescent="0.2">
      <c r="B1188" s="137">
        <f t="shared" si="18"/>
        <v>46</v>
      </c>
      <c r="C1188" s="167" t="str">
        <f>TEXT(Таблица8[[#This Row],[Дата]],"М")</f>
        <v>11</v>
      </c>
      <c r="D1188" s="139">
        <v>44876</v>
      </c>
      <c r="E1188" s="137" t="s">
        <v>71</v>
      </c>
      <c r="F1188" s="137" t="s">
        <v>94</v>
      </c>
      <c r="G1188" s="140">
        <f>32*3</f>
        <v>96</v>
      </c>
      <c r="H1188" s="141"/>
    </row>
    <row r="1189" spans="2:8" x14ac:dyDescent="0.2">
      <c r="B1189" s="143">
        <f t="shared" si="18"/>
        <v>46</v>
      </c>
      <c r="C1189" s="138" t="str">
        <f>TEXT(Таблица8[[#This Row],[Дата]],"М")</f>
        <v>11</v>
      </c>
      <c r="D1189" s="144">
        <v>44876</v>
      </c>
      <c r="E1189" s="143" t="s">
        <v>20</v>
      </c>
      <c r="F1189" s="143" t="s">
        <v>99</v>
      </c>
      <c r="G1189" s="147">
        <v>344</v>
      </c>
      <c r="H1189" s="146"/>
    </row>
    <row r="1190" spans="2:8" x14ac:dyDescent="0.2">
      <c r="B1190" s="143">
        <f t="shared" si="18"/>
        <v>46</v>
      </c>
      <c r="C1190" s="138" t="str">
        <f>TEXT(Таблица8[[#This Row],[Дата]],"М")</f>
        <v>11</v>
      </c>
      <c r="D1190" s="144">
        <v>44876</v>
      </c>
      <c r="E1190" s="143" t="s">
        <v>19</v>
      </c>
      <c r="F1190" s="143" t="s">
        <v>96</v>
      </c>
      <c r="G1190" s="147">
        <f>180+80</f>
        <v>260</v>
      </c>
      <c r="H1190" s="146"/>
    </row>
    <row r="1191" spans="2:8" x14ac:dyDescent="0.2">
      <c r="B1191" s="137">
        <f t="shared" si="18"/>
        <v>46</v>
      </c>
      <c r="C1191" s="167" t="str">
        <f>TEXT(Таблица8[[#This Row],[Дата]],"М")</f>
        <v>11</v>
      </c>
      <c r="D1191" s="139">
        <v>44877</v>
      </c>
      <c r="E1191" s="137" t="s">
        <v>19</v>
      </c>
      <c r="F1191" s="137" t="s">
        <v>96</v>
      </c>
      <c r="G1191" s="140">
        <v>123</v>
      </c>
      <c r="H1191" s="141"/>
    </row>
    <row r="1192" spans="2:8" x14ac:dyDescent="0.2">
      <c r="B1192" s="143">
        <f t="shared" si="18"/>
        <v>46</v>
      </c>
      <c r="C1192" s="138" t="str">
        <f>TEXT(Таблица8[[#This Row],[Дата]],"М")</f>
        <v>11</v>
      </c>
      <c r="D1192" s="144">
        <v>44877</v>
      </c>
      <c r="E1192" s="143" t="s">
        <v>30</v>
      </c>
      <c r="F1192" s="143" t="s">
        <v>92</v>
      </c>
      <c r="G1192" s="147">
        <v>298</v>
      </c>
      <c r="H1192" s="146"/>
    </row>
    <row r="1193" spans="2:8" x14ac:dyDescent="0.2">
      <c r="B1193" s="143">
        <f t="shared" si="18"/>
        <v>46</v>
      </c>
      <c r="C1193" s="138" t="str">
        <f>TEXT(Таблица8[[#This Row],[Дата]],"М")</f>
        <v>11</v>
      </c>
      <c r="D1193" s="144">
        <v>44877</v>
      </c>
      <c r="E1193" s="143" t="s">
        <v>71</v>
      </c>
      <c r="F1193" s="143" t="s">
        <v>94</v>
      </c>
      <c r="G1193" s="147">
        <v>32</v>
      </c>
      <c r="H1193" s="146"/>
    </row>
    <row r="1194" spans="2:8" x14ac:dyDescent="0.2">
      <c r="B1194" s="143">
        <f t="shared" si="18"/>
        <v>46</v>
      </c>
      <c r="C1194" s="138" t="str">
        <f>TEXT(Таблица8[[#This Row],[Дата]],"М")</f>
        <v>11</v>
      </c>
      <c r="D1194" s="144">
        <v>44877</v>
      </c>
      <c r="E1194" s="143" t="s">
        <v>20</v>
      </c>
      <c r="F1194" s="143" t="s">
        <v>102</v>
      </c>
      <c r="G1194" s="147">
        <v>155</v>
      </c>
      <c r="H1194" s="146"/>
    </row>
    <row r="1195" spans="2:8" x14ac:dyDescent="0.2">
      <c r="B1195" s="143">
        <f t="shared" si="18"/>
        <v>46</v>
      </c>
      <c r="C1195" s="138" t="str">
        <f>TEXT(Таблица8[[#This Row],[Дата]],"М")</f>
        <v>11</v>
      </c>
      <c r="D1195" s="144">
        <v>44877</v>
      </c>
      <c r="E1195" s="143" t="s">
        <v>72</v>
      </c>
      <c r="F1195" s="143" t="s">
        <v>132</v>
      </c>
      <c r="G1195" s="147">
        <v>100</v>
      </c>
      <c r="H1195" s="146"/>
    </row>
    <row r="1196" spans="2:8" x14ac:dyDescent="0.2">
      <c r="B1196" s="137">
        <f t="shared" si="18"/>
        <v>47</v>
      </c>
      <c r="C1196" s="167" t="str">
        <f>TEXT(Таблица8[[#This Row],[Дата]],"М")</f>
        <v>11</v>
      </c>
      <c r="D1196" s="139">
        <v>44878</v>
      </c>
      <c r="E1196" s="137" t="s">
        <v>71</v>
      </c>
      <c r="F1196" s="137" t="s">
        <v>91</v>
      </c>
      <c r="G1196" s="140">
        <v>250</v>
      </c>
      <c r="H1196" s="141"/>
    </row>
    <row r="1197" spans="2:8" x14ac:dyDescent="0.2">
      <c r="B1197" s="143">
        <f t="shared" si="18"/>
        <v>47</v>
      </c>
      <c r="C1197" s="138" t="str">
        <f>TEXT(Таблица8[[#This Row],[Дата]],"М")</f>
        <v>11</v>
      </c>
      <c r="D1197" s="144">
        <v>44878</v>
      </c>
      <c r="E1197" s="143" t="s">
        <v>72</v>
      </c>
      <c r="F1197" s="143" t="s">
        <v>132</v>
      </c>
      <c r="G1197" s="147">
        <v>100</v>
      </c>
      <c r="H1197" s="146"/>
    </row>
    <row r="1198" spans="2:8" x14ac:dyDescent="0.2">
      <c r="B1198" s="143">
        <f t="shared" si="18"/>
        <v>47</v>
      </c>
      <c r="C1198" s="138" t="str">
        <f>TEXT(Таблица8[[#This Row],[Дата]],"М")</f>
        <v>11</v>
      </c>
      <c r="D1198" s="144">
        <v>44878</v>
      </c>
      <c r="E1198" s="143" t="s">
        <v>20</v>
      </c>
      <c r="F1198" s="143" t="s">
        <v>102</v>
      </c>
      <c r="G1198" s="147">
        <v>192</v>
      </c>
      <c r="H1198" s="146"/>
    </row>
    <row r="1199" spans="2:8" x14ac:dyDescent="0.2">
      <c r="B1199" s="143">
        <f t="shared" si="18"/>
        <v>47</v>
      </c>
      <c r="C1199" s="138" t="str">
        <f>TEXT(Таблица8[[#This Row],[Дата]],"М")</f>
        <v>11</v>
      </c>
      <c r="D1199" s="144">
        <v>44878</v>
      </c>
      <c r="E1199" s="143" t="s">
        <v>19</v>
      </c>
      <c r="F1199" s="143" t="s">
        <v>96</v>
      </c>
      <c r="G1199" s="147">
        <v>184</v>
      </c>
      <c r="H1199" s="146"/>
    </row>
    <row r="1200" spans="2:8" x14ac:dyDescent="0.2">
      <c r="B1200" s="137">
        <f t="shared" si="18"/>
        <v>47</v>
      </c>
      <c r="C1200" s="167" t="str">
        <f>TEXT(Таблица8[[#This Row],[Дата]],"М")</f>
        <v>11</v>
      </c>
      <c r="D1200" s="139">
        <v>44879</v>
      </c>
      <c r="E1200" s="137" t="s">
        <v>19</v>
      </c>
      <c r="F1200" s="137" t="s">
        <v>96</v>
      </c>
      <c r="G1200" s="140">
        <v>596</v>
      </c>
      <c r="H1200" s="141"/>
    </row>
    <row r="1201" spans="2:8" x14ac:dyDescent="0.2">
      <c r="B1201" s="143">
        <f t="shared" si="18"/>
        <v>47</v>
      </c>
      <c r="C1201" s="138" t="str">
        <f>TEXT(Таблица8[[#This Row],[Дата]],"М")</f>
        <v>11</v>
      </c>
      <c r="D1201" s="144">
        <v>44879</v>
      </c>
      <c r="E1201" s="143" t="s">
        <v>72</v>
      </c>
      <c r="F1201" s="143" t="s">
        <v>132</v>
      </c>
      <c r="G1201" s="147">
        <v>100</v>
      </c>
      <c r="H1201" s="146"/>
    </row>
    <row r="1202" spans="2:8" x14ac:dyDescent="0.2">
      <c r="B1202" s="137">
        <f t="shared" si="18"/>
        <v>47</v>
      </c>
      <c r="C1202" s="167" t="str">
        <f>TEXT(Таблица8[[#This Row],[Дата]],"М")</f>
        <v>11</v>
      </c>
      <c r="D1202" s="139">
        <v>44880</v>
      </c>
      <c r="E1202" s="137" t="s">
        <v>71</v>
      </c>
      <c r="F1202" s="137" t="s">
        <v>94</v>
      </c>
      <c r="G1202" s="140">
        <v>64</v>
      </c>
      <c r="H1202" s="141"/>
    </row>
    <row r="1203" spans="2:8" x14ac:dyDescent="0.2">
      <c r="B1203" s="143">
        <f t="shared" si="18"/>
        <v>47</v>
      </c>
      <c r="C1203" s="138" t="str">
        <f>TEXT(Таблица8[[#This Row],[Дата]],"М")</f>
        <v>11</v>
      </c>
      <c r="D1203" s="144">
        <v>44880</v>
      </c>
      <c r="E1203" s="143" t="s">
        <v>20</v>
      </c>
      <c r="F1203" s="143" t="s">
        <v>99</v>
      </c>
      <c r="G1203" s="147">
        <v>232</v>
      </c>
      <c r="H1203" s="146"/>
    </row>
    <row r="1204" spans="2:8" x14ac:dyDescent="0.2">
      <c r="B1204" s="143">
        <f t="shared" ref="B1204:B1267" si="19">WEEKNUM(D1204)</f>
        <v>47</v>
      </c>
      <c r="C1204" s="138" t="str">
        <f>TEXT(Таблица8[[#This Row],[Дата]],"М")</f>
        <v>11</v>
      </c>
      <c r="D1204" s="144">
        <v>44880</v>
      </c>
      <c r="E1204" s="143" t="s">
        <v>72</v>
      </c>
      <c r="F1204" s="143" t="s">
        <v>132</v>
      </c>
      <c r="G1204" s="147">
        <v>200</v>
      </c>
      <c r="H1204" s="146"/>
    </row>
    <row r="1205" spans="2:8" x14ac:dyDescent="0.2">
      <c r="B1205" s="143">
        <f t="shared" si="19"/>
        <v>47</v>
      </c>
      <c r="C1205" s="138" t="str">
        <f>TEXT(Таблица8[[#This Row],[Дата]],"М")</f>
        <v>11</v>
      </c>
      <c r="D1205" s="144">
        <v>44880</v>
      </c>
      <c r="E1205" s="143" t="s">
        <v>19</v>
      </c>
      <c r="F1205" s="143" t="s">
        <v>96</v>
      </c>
      <c r="G1205" s="147">
        <v>75</v>
      </c>
      <c r="H1205" s="146"/>
    </row>
    <row r="1206" spans="2:8" x14ac:dyDescent="0.2">
      <c r="B1206" s="137">
        <f t="shared" si="19"/>
        <v>47</v>
      </c>
      <c r="C1206" s="167" t="str">
        <f>TEXT(Таблица8[[#This Row],[Дата]],"М")</f>
        <v>11</v>
      </c>
      <c r="D1206" s="139">
        <v>44881</v>
      </c>
      <c r="E1206" s="137" t="s">
        <v>71</v>
      </c>
      <c r="F1206" s="137" t="s">
        <v>94</v>
      </c>
      <c r="G1206" s="140">
        <v>64</v>
      </c>
      <c r="H1206" s="141"/>
    </row>
    <row r="1207" spans="2:8" x14ac:dyDescent="0.2">
      <c r="B1207" s="143">
        <f t="shared" si="19"/>
        <v>47</v>
      </c>
      <c r="C1207" s="138" t="str">
        <f>TEXT(Таблица8[[#This Row],[Дата]],"М")</f>
        <v>11</v>
      </c>
      <c r="D1207" s="144">
        <v>44881</v>
      </c>
      <c r="E1207" s="143" t="s">
        <v>20</v>
      </c>
      <c r="F1207" s="143" t="s">
        <v>99</v>
      </c>
      <c r="G1207" s="147">
        <v>262</v>
      </c>
      <c r="H1207" s="146"/>
    </row>
    <row r="1208" spans="2:8" x14ac:dyDescent="0.2">
      <c r="B1208" s="143">
        <f t="shared" si="19"/>
        <v>47</v>
      </c>
      <c r="C1208" s="138" t="str">
        <f>TEXT(Таблица8[[#This Row],[Дата]],"М")</f>
        <v>11</v>
      </c>
      <c r="D1208" s="144">
        <v>44881</v>
      </c>
      <c r="E1208" s="143" t="s">
        <v>72</v>
      </c>
      <c r="F1208" s="143" t="s">
        <v>132</v>
      </c>
      <c r="G1208" s="147">
        <f>400+228</f>
        <v>628</v>
      </c>
      <c r="H1208" s="146"/>
    </row>
    <row r="1209" spans="2:8" x14ac:dyDescent="0.2">
      <c r="B1209" s="143">
        <f t="shared" si="19"/>
        <v>47</v>
      </c>
      <c r="C1209" s="138" t="str">
        <f>TEXT(Таблица8[[#This Row],[Дата]],"М")</f>
        <v>11</v>
      </c>
      <c r="D1209" s="144">
        <v>44881</v>
      </c>
      <c r="E1209" s="143" t="s">
        <v>72</v>
      </c>
      <c r="F1209" s="143" t="s">
        <v>38</v>
      </c>
      <c r="G1209" s="147">
        <v>150</v>
      </c>
      <c r="H1209" s="146"/>
    </row>
    <row r="1210" spans="2:8" x14ac:dyDescent="0.2">
      <c r="B1210" s="143">
        <f t="shared" si="19"/>
        <v>47</v>
      </c>
      <c r="C1210" s="138" t="str">
        <f>TEXT(Таблица8[[#This Row],[Дата]],"М")</f>
        <v>11</v>
      </c>
      <c r="D1210" s="144">
        <v>44881</v>
      </c>
      <c r="E1210" s="143" t="s">
        <v>72</v>
      </c>
      <c r="F1210" s="143" t="s">
        <v>43</v>
      </c>
      <c r="G1210" s="147">
        <v>100</v>
      </c>
      <c r="H1210" s="146"/>
    </row>
    <row r="1211" spans="2:8" x14ac:dyDescent="0.2">
      <c r="B1211" s="143">
        <f t="shared" si="19"/>
        <v>47</v>
      </c>
      <c r="C1211" s="138" t="str">
        <f>TEXT(Таблица8[[#This Row],[Дата]],"М")</f>
        <v>11</v>
      </c>
      <c r="D1211" s="144">
        <v>44881</v>
      </c>
      <c r="E1211" s="143" t="s">
        <v>72</v>
      </c>
      <c r="F1211" s="143" t="s">
        <v>44</v>
      </c>
      <c r="G1211" s="147">
        <v>150</v>
      </c>
      <c r="H1211" s="146"/>
    </row>
    <row r="1212" spans="2:8" x14ac:dyDescent="0.2">
      <c r="B1212" s="143">
        <f t="shared" si="19"/>
        <v>47</v>
      </c>
      <c r="C1212" s="138" t="str">
        <f>TEXT(Таблица8[[#This Row],[Дата]],"М")</f>
        <v>11</v>
      </c>
      <c r="D1212" s="144">
        <v>44881</v>
      </c>
      <c r="E1212" s="143" t="s">
        <v>72</v>
      </c>
      <c r="F1212" s="143" t="s">
        <v>124</v>
      </c>
      <c r="G1212" s="147">
        <v>100</v>
      </c>
      <c r="H1212" s="146"/>
    </row>
    <row r="1213" spans="2:8" x14ac:dyDescent="0.2">
      <c r="B1213" s="143">
        <f t="shared" si="19"/>
        <v>47</v>
      </c>
      <c r="C1213" s="138" t="str">
        <f>TEXT(Таблица8[[#This Row],[Дата]],"М")</f>
        <v>11</v>
      </c>
      <c r="D1213" s="144">
        <v>44881</v>
      </c>
      <c r="E1213" s="143" t="s">
        <v>19</v>
      </c>
      <c r="F1213" s="143" t="s">
        <v>96</v>
      </c>
      <c r="G1213" s="147">
        <v>60</v>
      </c>
      <c r="H1213" s="146"/>
    </row>
    <row r="1214" spans="2:8" x14ac:dyDescent="0.2">
      <c r="B1214" s="137">
        <f t="shared" si="19"/>
        <v>47</v>
      </c>
      <c r="C1214" s="167" t="str">
        <f>TEXT(Таблица8[[#This Row],[Дата]],"М")</f>
        <v>11</v>
      </c>
      <c r="D1214" s="139">
        <v>44882</v>
      </c>
      <c r="E1214" s="137" t="s">
        <v>71</v>
      </c>
      <c r="F1214" s="137" t="s">
        <v>94</v>
      </c>
      <c r="G1214" s="140">
        <v>32</v>
      </c>
      <c r="H1214" s="141"/>
    </row>
    <row r="1215" spans="2:8" x14ac:dyDescent="0.2">
      <c r="B1215" s="143">
        <f t="shared" si="19"/>
        <v>47</v>
      </c>
      <c r="C1215" s="138" t="str">
        <f>TEXT(Таблица8[[#This Row],[Дата]],"М")</f>
        <v>11</v>
      </c>
      <c r="D1215" s="144">
        <v>44882</v>
      </c>
      <c r="E1215" s="143" t="s">
        <v>71</v>
      </c>
      <c r="F1215" s="143" t="s">
        <v>91</v>
      </c>
      <c r="G1215" s="147">
        <v>392</v>
      </c>
      <c r="H1215" s="146"/>
    </row>
    <row r="1216" spans="2:8" x14ac:dyDescent="0.2">
      <c r="B1216" s="143">
        <f t="shared" si="19"/>
        <v>47</v>
      </c>
      <c r="C1216" s="138" t="str">
        <f>TEXT(Таблица8[[#This Row],[Дата]],"М")</f>
        <v>11</v>
      </c>
      <c r="D1216" s="144">
        <v>44882</v>
      </c>
      <c r="E1216" s="143" t="s">
        <v>20</v>
      </c>
      <c r="F1216" s="143" t="s">
        <v>99</v>
      </c>
      <c r="G1216" s="147">
        <v>228</v>
      </c>
      <c r="H1216" s="146"/>
    </row>
    <row r="1217" spans="2:8" x14ac:dyDescent="0.2">
      <c r="B1217" s="143">
        <f t="shared" si="19"/>
        <v>47</v>
      </c>
      <c r="C1217" s="138" t="str">
        <f>TEXT(Таблица8[[#This Row],[Дата]],"М")</f>
        <v>11</v>
      </c>
      <c r="D1217" s="144">
        <v>44882</v>
      </c>
      <c r="E1217" s="143" t="s">
        <v>72</v>
      </c>
      <c r="F1217" s="143" t="s">
        <v>132</v>
      </c>
      <c r="G1217" s="147">
        <v>500</v>
      </c>
      <c r="H1217" s="146"/>
    </row>
    <row r="1218" spans="2:8" x14ac:dyDescent="0.2">
      <c r="B1218" s="143">
        <f t="shared" si="19"/>
        <v>47</v>
      </c>
      <c r="C1218" s="138" t="str">
        <f>TEXT(Таблица8[[#This Row],[Дата]],"М")</f>
        <v>11</v>
      </c>
      <c r="D1218" s="144">
        <v>44882</v>
      </c>
      <c r="E1218" s="143" t="s">
        <v>19</v>
      </c>
      <c r="F1218" s="143" t="s">
        <v>96</v>
      </c>
      <c r="G1218" s="147">
        <v>190</v>
      </c>
      <c r="H1218" s="146"/>
    </row>
    <row r="1219" spans="2:8" x14ac:dyDescent="0.2">
      <c r="B1219" s="151">
        <f t="shared" si="19"/>
        <v>47</v>
      </c>
      <c r="C1219" s="167" t="str">
        <f>TEXT(Таблица8[[#This Row],[Дата]],"М")</f>
        <v>11</v>
      </c>
      <c r="D1219" s="139">
        <v>44883</v>
      </c>
      <c r="E1219" s="137" t="s">
        <v>19</v>
      </c>
      <c r="F1219" s="137" t="s">
        <v>96</v>
      </c>
      <c r="G1219" s="152">
        <v>626</v>
      </c>
      <c r="H1219" s="153"/>
    </row>
    <row r="1220" spans="2:8" x14ac:dyDescent="0.2">
      <c r="B1220" s="143">
        <f t="shared" si="19"/>
        <v>47</v>
      </c>
      <c r="C1220" s="138" t="str">
        <f>TEXT(Таблица8[[#This Row],[Дата]],"М")</f>
        <v>11</v>
      </c>
      <c r="D1220" s="144">
        <v>44883</v>
      </c>
      <c r="E1220" s="143" t="s">
        <v>72</v>
      </c>
      <c r="F1220" s="143" t="s">
        <v>132</v>
      </c>
      <c r="G1220" s="147">
        <v>100</v>
      </c>
      <c r="H1220" s="146"/>
    </row>
    <row r="1221" spans="2:8" x14ac:dyDescent="0.2">
      <c r="B1221" s="137">
        <f t="shared" si="19"/>
        <v>47</v>
      </c>
      <c r="C1221" s="167" t="str">
        <f>TEXT(Таблица8[[#This Row],[Дата]],"М")</f>
        <v>11</v>
      </c>
      <c r="D1221" s="139">
        <v>44884</v>
      </c>
      <c r="E1221" s="137" t="s">
        <v>72</v>
      </c>
      <c r="F1221" s="137" t="s">
        <v>132</v>
      </c>
      <c r="G1221" s="140">
        <v>150</v>
      </c>
      <c r="H1221" s="141"/>
    </row>
    <row r="1222" spans="2:8" x14ac:dyDescent="0.2">
      <c r="B1222" s="148">
        <f t="shared" si="19"/>
        <v>47</v>
      </c>
      <c r="C1222" s="168" t="str">
        <f>TEXT(Таблица8[[#This Row],[Дата]],"М")</f>
        <v>11</v>
      </c>
      <c r="D1222" s="144">
        <v>44884</v>
      </c>
      <c r="E1222" s="143" t="s">
        <v>19</v>
      </c>
      <c r="F1222" s="143" t="s">
        <v>96</v>
      </c>
      <c r="G1222" s="149">
        <v>60</v>
      </c>
      <c r="H1222" s="150"/>
    </row>
    <row r="1223" spans="2:8" x14ac:dyDescent="0.2">
      <c r="B1223" s="143">
        <f t="shared" si="19"/>
        <v>47</v>
      </c>
      <c r="C1223" s="138" t="str">
        <f>TEXT(Таблица8[[#This Row],[Дата]],"М")</f>
        <v>11</v>
      </c>
      <c r="D1223" s="144">
        <v>44884</v>
      </c>
      <c r="E1223" s="143" t="s">
        <v>71</v>
      </c>
      <c r="F1223" s="143" t="s">
        <v>94</v>
      </c>
      <c r="G1223" s="147">
        <v>32</v>
      </c>
      <c r="H1223" s="146"/>
    </row>
    <row r="1224" spans="2:8" x14ac:dyDescent="0.2">
      <c r="B1224" s="137">
        <f t="shared" si="19"/>
        <v>48</v>
      </c>
      <c r="C1224" s="167" t="str">
        <f>TEXT(Таблица8[[#This Row],[Дата]],"М")</f>
        <v>11</v>
      </c>
      <c r="D1224" s="139">
        <v>44885</v>
      </c>
      <c r="E1224" s="137" t="s">
        <v>30</v>
      </c>
      <c r="F1224" s="137" t="s">
        <v>100</v>
      </c>
      <c r="G1224" s="140">
        <v>1100</v>
      </c>
      <c r="H1224" s="141"/>
    </row>
    <row r="1225" spans="2:8" x14ac:dyDescent="0.2">
      <c r="B1225" s="143">
        <f t="shared" si="19"/>
        <v>48</v>
      </c>
      <c r="C1225" s="138" t="str">
        <f>TEXT(Таблица8[[#This Row],[Дата]],"М")</f>
        <v>11</v>
      </c>
      <c r="D1225" s="144">
        <v>44885</v>
      </c>
      <c r="E1225" s="143" t="s">
        <v>30</v>
      </c>
      <c r="F1225" s="143" t="s">
        <v>92</v>
      </c>
      <c r="G1225" s="147">
        <f>1820-1100+85</f>
        <v>805</v>
      </c>
      <c r="H1225" s="146"/>
    </row>
    <row r="1226" spans="2:8" x14ac:dyDescent="0.2">
      <c r="B1226" s="143">
        <f t="shared" si="19"/>
        <v>48</v>
      </c>
      <c r="C1226" s="138" t="str">
        <f>TEXT(Таблица8[[#This Row],[Дата]],"М")</f>
        <v>11</v>
      </c>
      <c r="D1226" s="144">
        <v>44885</v>
      </c>
      <c r="E1226" s="143" t="s">
        <v>71</v>
      </c>
      <c r="F1226" s="143" t="s">
        <v>91</v>
      </c>
      <c r="G1226" s="147">
        <v>360</v>
      </c>
      <c r="H1226" s="146"/>
    </row>
    <row r="1227" spans="2:8" x14ac:dyDescent="0.2">
      <c r="B1227" s="143">
        <f t="shared" si="19"/>
        <v>48</v>
      </c>
      <c r="C1227" s="138" t="str">
        <f>TEXT(Таблица8[[#This Row],[Дата]],"М")</f>
        <v>11</v>
      </c>
      <c r="D1227" s="144">
        <v>44885</v>
      </c>
      <c r="E1227" s="143" t="s">
        <v>72</v>
      </c>
      <c r="F1227" s="143" t="s">
        <v>132</v>
      </c>
      <c r="G1227" s="147">
        <v>100</v>
      </c>
      <c r="H1227" s="146"/>
    </row>
    <row r="1228" spans="2:8" x14ac:dyDescent="0.2">
      <c r="B1228" s="148">
        <f t="shared" si="19"/>
        <v>48</v>
      </c>
      <c r="C1228" s="168" t="str">
        <f>TEXT(Таблица8[[#This Row],[Дата]],"М")</f>
        <v>11</v>
      </c>
      <c r="D1228" s="144">
        <v>44885</v>
      </c>
      <c r="E1228" s="148" t="s">
        <v>19</v>
      </c>
      <c r="F1228" s="148" t="s">
        <v>96</v>
      </c>
      <c r="G1228" s="149">
        <f>278+113+62</f>
        <v>453</v>
      </c>
      <c r="H1228" s="150"/>
    </row>
    <row r="1229" spans="2:8" x14ac:dyDescent="0.2">
      <c r="B1229" s="137">
        <f t="shared" si="19"/>
        <v>48</v>
      </c>
      <c r="C1229" s="167" t="str">
        <f>TEXT(Таблица8[[#This Row],[Дата]],"М")</f>
        <v>11</v>
      </c>
      <c r="D1229" s="139">
        <v>44886</v>
      </c>
      <c r="E1229" s="137" t="s">
        <v>71</v>
      </c>
      <c r="F1229" s="137" t="s">
        <v>94</v>
      </c>
      <c r="G1229" s="140">
        <v>64</v>
      </c>
      <c r="H1229" s="141"/>
    </row>
    <row r="1230" spans="2:8" x14ac:dyDescent="0.2">
      <c r="B1230" s="143">
        <f t="shared" si="19"/>
        <v>48</v>
      </c>
      <c r="C1230" s="138" t="str">
        <f>TEXT(Таблица8[[#This Row],[Дата]],"М")</f>
        <v>11</v>
      </c>
      <c r="D1230" s="144">
        <v>44886</v>
      </c>
      <c r="E1230" s="143" t="s">
        <v>20</v>
      </c>
      <c r="F1230" s="143" t="s">
        <v>99</v>
      </c>
      <c r="G1230" s="147">
        <v>252</v>
      </c>
      <c r="H1230" s="146"/>
    </row>
    <row r="1231" spans="2:8" x14ac:dyDescent="0.2">
      <c r="B1231" s="143">
        <f t="shared" si="19"/>
        <v>48</v>
      </c>
      <c r="C1231" s="138" t="str">
        <f>TEXT(Таблица8[[#This Row],[Дата]],"М")</f>
        <v>11</v>
      </c>
      <c r="D1231" s="144">
        <v>44886</v>
      </c>
      <c r="E1231" s="143" t="s">
        <v>72</v>
      </c>
      <c r="F1231" s="143" t="s">
        <v>132</v>
      </c>
      <c r="G1231" s="147">
        <v>150</v>
      </c>
      <c r="H1231" s="146"/>
    </row>
    <row r="1232" spans="2:8" x14ac:dyDescent="0.2">
      <c r="B1232" s="137">
        <f t="shared" si="19"/>
        <v>48</v>
      </c>
      <c r="C1232" s="167" t="str">
        <f>TEXT(Таблица8[[#This Row],[Дата]],"М")</f>
        <v>11</v>
      </c>
      <c r="D1232" s="139">
        <v>44887</v>
      </c>
      <c r="E1232" s="137" t="s">
        <v>71</v>
      </c>
      <c r="F1232" s="137" t="s">
        <v>94</v>
      </c>
      <c r="G1232" s="140">
        <v>64</v>
      </c>
      <c r="H1232" s="141"/>
    </row>
    <row r="1233" spans="2:8" x14ac:dyDescent="0.2">
      <c r="B1233" s="143">
        <f t="shared" si="19"/>
        <v>48</v>
      </c>
      <c r="C1233" s="138" t="str">
        <f>TEXT(Таблица8[[#This Row],[Дата]],"М")</f>
        <v>11</v>
      </c>
      <c r="D1233" s="144">
        <v>44887</v>
      </c>
      <c r="E1233" s="143" t="s">
        <v>20</v>
      </c>
      <c r="F1233" s="143" t="s">
        <v>99</v>
      </c>
      <c r="G1233" s="147">
        <v>189</v>
      </c>
      <c r="H1233" s="146"/>
    </row>
    <row r="1234" spans="2:8" x14ac:dyDescent="0.2">
      <c r="B1234" s="148">
        <f t="shared" si="19"/>
        <v>48</v>
      </c>
      <c r="C1234" s="168" t="str">
        <f>TEXT(Таблица8[[#This Row],[Дата]],"М")</f>
        <v>11</v>
      </c>
      <c r="D1234" s="144">
        <v>44887</v>
      </c>
      <c r="E1234" s="143" t="s">
        <v>72</v>
      </c>
      <c r="F1234" s="143" t="s">
        <v>132</v>
      </c>
      <c r="G1234" s="147">
        <v>150</v>
      </c>
      <c r="H1234" s="150"/>
    </row>
    <row r="1235" spans="2:8" x14ac:dyDescent="0.2">
      <c r="B1235" s="143">
        <f t="shared" si="19"/>
        <v>48</v>
      </c>
      <c r="C1235" s="138" t="str">
        <f>TEXT(Таблица8[[#This Row],[Дата]],"М")</f>
        <v>11</v>
      </c>
      <c r="D1235" s="144">
        <v>44887</v>
      </c>
      <c r="E1235" s="148" t="s">
        <v>19</v>
      </c>
      <c r="F1235" s="148" t="s">
        <v>96</v>
      </c>
      <c r="G1235" s="147">
        <v>60</v>
      </c>
      <c r="H1235" s="146"/>
    </row>
    <row r="1236" spans="2:8" x14ac:dyDescent="0.2">
      <c r="B1236" s="151">
        <f t="shared" si="19"/>
        <v>48</v>
      </c>
      <c r="C1236" s="169" t="str">
        <f>TEXT(Таблица8[[#This Row],[Дата]],"М")</f>
        <v>11</v>
      </c>
      <c r="D1236" s="139">
        <v>44888</v>
      </c>
      <c r="E1236" s="151" t="s">
        <v>71</v>
      </c>
      <c r="F1236" s="151" t="s">
        <v>94</v>
      </c>
      <c r="G1236" s="152">
        <v>64</v>
      </c>
      <c r="H1236" s="153"/>
    </row>
    <row r="1237" spans="2:8" x14ac:dyDescent="0.2">
      <c r="B1237" s="148">
        <f t="shared" si="19"/>
        <v>48</v>
      </c>
      <c r="C1237" s="168" t="str">
        <f>TEXT(Таблица8[[#This Row],[Дата]],"М")</f>
        <v>11</v>
      </c>
      <c r="D1237" s="144">
        <v>44888</v>
      </c>
      <c r="E1237" s="143" t="s">
        <v>20</v>
      </c>
      <c r="F1237" s="143" t="s">
        <v>99</v>
      </c>
      <c r="G1237" s="149">
        <v>226</v>
      </c>
      <c r="H1237" s="150"/>
    </row>
    <row r="1238" spans="2:8" x14ac:dyDescent="0.2">
      <c r="B1238" s="143">
        <f t="shared" si="19"/>
        <v>48</v>
      </c>
      <c r="C1238" s="138" t="str">
        <f>TEXT(Таблица8[[#This Row],[Дата]],"М")</f>
        <v>11</v>
      </c>
      <c r="D1238" s="144">
        <v>44888</v>
      </c>
      <c r="E1238" s="143" t="s">
        <v>72</v>
      </c>
      <c r="F1238" s="143" t="s">
        <v>132</v>
      </c>
      <c r="G1238" s="147">
        <v>133</v>
      </c>
      <c r="H1238" s="146"/>
    </row>
    <row r="1239" spans="2:8" x14ac:dyDescent="0.2">
      <c r="B1239" s="143">
        <f t="shared" si="19"/>
        <v>48</v>
      </c>
      <c r="C1239" s="138" t="str">
        <f>TEXT(Таблица8[[#This Row],[Дата]],"М")</f>
        <v>11</v>
      </c>
      <c r="D1239" s="144">
        <v>44888</v>
      </c>
      <c r="E1239" s="143" t="s">
        <v>19</v>
      </c>
      <c r="F1239" s="143" t="s">
        <v>96</v>
      </c>
      <c r="G1239" s="147">
        <v>80</v>
      </c>
      <c r="H1239" s="146"/>
    </row>
    <row r="1240" spans="2:8" x14ac:dyDescent="0.2">
      <c r="B1240" s="137">
        <f t="shared" si="19"/>
        <v>48</v>
      </c>
      <c r="C1240" s="167" t="str">
        <f>TEXT(Таблица8[[#This Row],[Дата]],"М")</f>
        <v>11</v>
      </c>
      <c r="D1240" s="139">
        <v>44889</v>
      </c>
      <c r="E1240" s="137" t="s">
        <v>22</v>
      </c>
      <c r="F1240" s="137" t="s">
        <v>104</v>
      </c>
      <c r="G1240" s="140">
        <v>1299</v>
      </c>
      <c r="H1240" s="141" t="s">
        <v>138</v>
      </c>
    </row>
    <row r="1241" spans="2:8" x14ac:dyDescent="0.2">
      <c r="B1241" s="143">
        <f t="shared" si="19"/>
        <v>48</v>
      </c>
      <c r="C1241" s="138" t="str">
        <f>TEXT(Таблица8[[#This Row],[Дата]],"М")</f>
        <v>11</v>
      </c>
      <c r="D1241" s="144">
        <v>44889</v>
      </c>
      <c r="E1241" s="143" t="s">
        <v>22</v>
      </c>
      <c r="F1241" s="143" t="s">
        <v>38</v>
      </c>
      <c r="G1241" s="147">
        <f>99+150</f>
        <v>249</v>
      </c>
      <c r="H1241" s="146" t="s">
        <v>139</v>
      </c>
    </row>
    <row r="1242" spans="2:8" x14ac:dyDescent="0.2">
      <c r="B1242" s="143">
        <f t="shared" si="19"/>
        <v>48</v>
      </c>
      <c r="C1242" s="138" t="str">
        <f>TEXT(Таблица8[[#This Row],[Дата]],"М")</f>
        <v>11</v>
      </c>
      <c r="D1242" s="144">
        <v>44889</v>
      </c>
      <c r="E1242" s="143" t="s">
        <v>23</v>
      </c>
      <c r="F1242" s="143" t="s">
        <v>129</v>
      </c>
      <c r="G1242" s="147">
        <v>350</v>
      </c>
      <c r="H1242" s="146" t="s">
        <v>140</v>
      </c>
    </row>
    <row r="1243" spans="2:8" x14ac:dyDescent="0.2">
      <c r="B1243" s="143">
        <f t="shared" si="19"/>
        <v>48</v>
      </c>
      <c r="C1243" s="138" t="str">
        <f>TEXT(Таблица8[[#This Row],[Дата]],"М")</f>
        <v>11</v>
      </c>
      <c r="D1243" s="144">
        <v>44889</v>
      </c>
      <c r="E1243" s="143" t="s">
        <v>20</v>
      </c>
      <c r="F1243" s="143" t="s">
        <v>97</v>
      </c>
      <c r="G1243" s="147">
        <v>150</v>
      </c>
      <c r="H1243" s="146"/>
    </row>
    <row r="1244" spans="2:8" x14ac:dyDescent="0.2">
      <c r="B1244" s="143">
        <f t="shared" si="19"/>
        <v>48</v>
      </c>
      <c r="C1244" s="138" t="str">
        <f>TEXT(Таблица8[[#This Row],[Дата]],"М")</f>
        <v>11</v>
      </c>
      <c r="D1244" s="144">
        <v>44889</v>
      </c>
      <c r="E1244" s="143" t="s">
        <v>71</v>
      </c>
      <c r="F1244" s="143" t="s">
        <v>115</v>
      </c>
      <c r="G1244" s="147">
        <f>50+276</f>
        <v>326</v>
      </c>
      <c r="H1244" s="146"/>
    </row>
    <row r="1245" spans="2:8" x14ac:dyDescent="0.2">
      <c r="B1245" s="143">
        <f t="shared" si="19"/>
        <v>48</v>
      </c>
      <c r="C1245" s="138" t="str">
        <f>TEXT(Таблица8[[#This Row],[Дата]],"М")</f>
        <v>11</v>
      </c>
      <c r="D1245" s="144">
        <v>44889</v>
      </c>
      <c r="E1245" s="143" t="s">
        <v>72</v>
      </c>
      <c r="F1245" s="143" t="s">
        <v>132</v>
      </c>
      <c r="G1245" s="147">
        <v>150</v>
      </c>
      <c r="H1245" s="146"/>
    </row>
    <row r="1246" spans="2:8" x14ac:dyDescent="0.2">
      <c r="B1246" s="137">
        <f t="shared" si="19"/>
        <v>48</v>
      </c>
      <c r="C1246" s="167" t="str">
        <f>TEXT(Таблица8[[#This Row],[Дата]],"М")</f>
        <v>11</v>
      </c>
      <c r="D1246" s="139">
        <v>44890</v>
      </c>
      <c r="E1246" s="137" t="s">
        <v>29</v>
      </c>
      <c r="F1246" s="137" t="s">
        <v>107</v>
      </c>
      <c r="G1246" s="140">
        <v>350</v>
      </c>
      <c r="H1246" s="141"/>
    </row>
    <row r="1247" spans="2:8" x14ac:dyDescent="0.2">
      <c r="B1247" s="143">
        <f t="shared" si="19"/>
        <v>48</v>
      </c>
      <c r="C1247" s="138" t="str">
        <f>TEXT(Таблица8[[#This Row],[Дата]],"М")</f>
        <v>11</v>
      </c>
      <c r="D1247" s="144">
        <v>44890</v>
      </c>
      <c r="E1247" s="143" t="s">
        <v>71</v>
      </c>
      <c r="F1247" s="143" t="s">
        <v>115</v>
      </c>
      <c r="G1247" s="147">
        <v>264</v>
      </c>
      <c r="H1247" s="146"/>
    </row>
    <row r="1248" spans="2:8" x14ac:dyDescent="0.2">
      <c r="B1248" s="148">
        <f t="shared" si="19"/>
        <v>48</v>
      </c>
      <c r="C1248" s="138" t="str">
        <f>TEXT(Таблица8[[#This Row],[Дата]],"М")</f>
        <v>11</v>
      </c>
      <c r="D1248" s="144">
        <v>44890</v>
      </c>
      <c r="E1248" s="143" t="s">
        <v>72</v>
      </c>
      <c r="F1248" s="143" t="s">
        <v>132</v>
      </c>
      <c r="G1248" s="149">
        <v>100</v>
      </c>
      <c r="H1248" s="150"/>
    </row>
    <row r="1249" spans="2:8" x14ac:dyDescent="0.2">
      <c r="B1249" s="143">
        <f t="shared" si="19"/>
        <v>48</v>
      </c>
      <c r="C1249" s="138" t="str">
        <f>TEXT(Таблица8[[#This Row],[Дата]],"М")</f>
        <v>11</v>
      </c>
      <c r="D1249" s="144">
        <v>44890</v>
      </c>
      <c r="E1249" s="143" t="s">
        <v>71</v>
      </c>
      <c r="F1249" s="143" t="s">
        <v>108</v>
      </c>
      <c r="G1249" s="147">
        <v>22</v>
      </c>
      <c r="H1249" s="146"/>
    </row>
    <row r="1250" spans="2:8" x14ac:dyDescent="0.2">
      <c r="B1250" s="137">
        <f t="shared" si="19"/>
        <v>48</v>
      </c>
      <c r="C1250" s="167" t="str">
        <f>TEXT(Таблица8[[#This Row],[Дата]],"М")</f>
        <v>11</v>
      </c>
      <c r="D1250" s="139">
        <v>44891</v>
      </c>
      <c r="E1250" s="137" t="s">
        <v>19</v>
      </c>
      <c r="F1250" s="137" t="s">
        <v>96</v>
      </c>
      <c r="G1250" s="140">
        <f>138+585</f>
        <v>723</v>
      </c>
      <c r="H1250" s="141"/>
    </row>
    <row r="1251" spans="2:8" x14ac:dyDescent="0.2">
      <c r="B1251" s="143">
        <f t="shared" si="19"/>
        <v>48</v>
      </c>
      <c r="C1251" s="138" t="str">
        <f>TEXT(Таблица8[[#This Row],[Дата]],"М")</f>
        <v>11</v>
      </c>
      <c r="D1251" s="144">
        <v>44891</v>
      </c>
      <c r="E1251" s="143" t="s">
        <v>23</v>
      </c>
      <c r="F1251" s="143" t="s">
        <v>129</v>
      </c>
      <c r="G1251" s="147">
        <v>600</v>
      </c>
      <c r="H1251" s="146" t="s">
        <v>140</v>
      </c>
    </row>
    <row r="1252" spans="2:8" x14ac:dyDescent="0.2">
      <c r="B1252" s="143">
        <f t="shared" si="19"/>
        <v>48</v>
      </c>
      <c r="C1252" s="138" t="str">
        <f>TEXT(Таблица8[[#This Row],[Дата]],"М")</f>
        <v>11</v>
      </c>
      <c r="D1252" s="144">
        <v>44891</v>
      </c>
      <c r="E1252" s="143" t="s">
        <v>72</v>
      </c>
      <c r="F1252" s="143" t="s">
        <v>132</v>
      </c>
      <c r="G1252" s="147">
        <v>150</v>
      </c>
      <c r="H1252" s="146"/>
    </row>
    <row r="1253" spans="2:8" x14ac:dyDescent="0.2">
      <c r="B1253" s="137">
        <f t="shared" si="19"/>
        <v>49</v>
      </c>
      <c r="C1253" s="167" t="str">
        <f>TEXT(Таблица8[[#This Row],[Дата]],"М")</f>
        <v>11</v>
      </c>
      <c r="D1253" s="139">
        <v>44892</v>
      </c>
      <c r="E1253" s="151" t="s">
        <v>71</v>
      </c>
      <c r="F1253" s="151" t="s">
        <v>94</v>
      </c>
      <c r="G1253" s="140">
        <f>22*2</f>
        <v>44</v>
      </c>
      <c r="H1253" s="141"/>
    </row>
    <row r="1254" spans="2:8" x14ac:dyDescent="0.2">
      <c r="B1254" s="143">
        <f t="shared" si="19"/>
        <v>49</v>
      </c>
      <c r="C1254" s="138" t="str">
        <f>TEXT(Таблица8[[#This Row],[Дата]],"М")</f>
        <v>11</v>
      </c>
      <c r="D1254" s="144">
        <v>44892</v>
      </c>
      <c r="E1254" s="143" t="s">
        <v>20</v>
      </c>
      <c r="F1254" s="143" t="s">
        <v>99</v>
      </c>
      <c r="G1254" s="147">
        <v>211</v>
      </c>
      <c r="H1254" s="146"/>
    </row>
    <row r="1255" spans="2:8" x14ac:dyDescent="0.2">
      <c r="B1255" s="143">
        <f t="shared" si="19"/>
        <v>49</v>
      </c>
      <c r="C1255" s="138" t="str">
        <f>TEXT(Таблица8[[#This Row],[Дата]],"М")</f>
        <v>11</v>
      </c>
      <c r="D1255" s="144">
        <v>44892</v>
      </c>
      <c r="E1255" s="143" t="s">
        <v>72</v>
      </c>
      <c r="F1255" s="143" t="s">
        <v>132</v>
      </c>
      <c r="G1255" s="147">
        <v>150</v>
      </c>
      <c r="H1255" s="146"/>
    </row>
    <row r="1256" spans="2:8" x14ac:dyDescent="0.2">
      <c r="B1256" s="151">
        <f t="shared" si="19"/>
        <v>49</v>
      </c>
      <c r="C1256" s="169" t="str">
        <f>TEXT(Таблица8[[#This Row],[Дата]],"М")</f>
        <v>11</v>
      </c>
      <c r="D1256" s="139">
        <v>44893</v>
      </c>
      <c r="E1256" s="151" t="s">
        <v>71</v>
      </c>
      <c r="F1256" s="151" t="s">
        <v>94</v>
      </c>
      <c r="G1256" s="152">
        <f>44</f>
        <v>44</v>
      </c>
      <c r="H1256" s="153"/>
    </row>
    <row r="1257" spans="2:8" x14ac:dyDescent="0.2">
      <c r="B1257" s="143">
        <f t="shared" si="19"/>
        <v>49</v>
      </c>
      <c r="C1257" s="138" t="str">
        <f>TEXT(Таблица8[[#This Row],[Дата]],"М")</f>
        <v>11</v>
      </c>
      <c r="D1257" s="144">
        <v>44893</v>
      </c>
      <c r="E1257" s="143" t="s">
        <v>20</v>
      </c>
      <c r="F1257" s="143" t="s">
        <v>99</v>
      </c>
      <c r="G1257" s="147">
        <v>233</v>
      </c>
      <c r="H1257" s="146"/>
    </row>
    <row r="1258" spans="2:8" x14ac:dyDescent="0.2">
      <c r="B1258" s="143">
        <f t="shared" si="19"/>
        <v>49</v>
      </c>
      <c r="C1258" s="138" t="str">
        <f>TEXT(Таблица8[[#This Row],[Дата]],"М")</f>
        <v>11</v>
      </c>
      <c r="D1258" s="144">
        <v>44893</v>
      </c>
      <c r="E1258" s="143" t="s">
        <v>72</v>
      </c>
      <c r="F1258" s="143" t="s">
        <v>132</v>
      </c>
      <c r="G1258" s="147">
        <f>170+355</f>
        <v>525</v>
      </c>
      <c r="H1258" s="146"/>
    </row>
    <row r="1259" spans="2:8" x14ac:dyDescent="0.2">
      <c r="B1259" s="143">
        <f t="shared" si="19"/>
        <v>49</v>
      </c>
      <c r="C1259" s="138" t="str">
        <f>TEXT(Таблица8[[#This Row],[Дата]],"М")</f>
        <v>11</v>
      </c>
      <c r="D1259" s="144">
        <v>44893</v>
      </c>
      <c r="E1259" s="143" t="s">
        <v>19</v>
      </c>
      <c r="F1259" s="143" t="s">
        <v>96</v>
      </c>
      <c r="G1259" s="147">
        <v>97</v>
      </c>
      <c r="H1259" s="146"/>
    </row>
    <row r="1260" spans="2:8" x14ac:dyDescent="0.2">
      <c r="B1260" s="151">
        <f t="shared" si="19"/>
        <v>49</v>
      </c>
      <c r="C1260" s="169" t="str">
        <f>TEXT(Таблица8[[#This Row],[Дата]],"М")</f>
        <v>11</v>
      </c>
      <c r="D1260" s="139">
        <v>44894</v>
      </c>
      <c r="E1260" s="151" t="s">
        <v>71</v>
      </c>
      <c r="F1260" s="151" t="s">
        <v>94</v>
      </c>
      <c r="G1260" s="152">
        <v>22</v>
      </c>
      <c r="H1260" s="153"/>
    </row>
    <row r="1261" spans="2:8" x14ac:dyDescent="0.2">
      <c r="B1261" s="143">
        <f t="shared" si="19"/>
        <v>49</v>
      </c>
      <c r="C1261" s="138" t="str">
        <f>TEXT(Таблица8[[#This Row],[Дата]],"М")</f>
        <v>11</v>
      </c>
      <c r="D1261" s="144">
        <v>44894</v>
      </c>
      <c r="E1261" s="143" t="s">
        <v>20</v>
      </c>
      <c r="F1261" s="143" t="s">
        <v>99</v>
      </c>
      <c r="G1261" s="147">
        <v>207</v>
      </c>
      <c r="H1261" s="146"/>
    </row>
    <row r="1262" spans="2:8" x14ac:dyDescent="0.2">
      <c r="B1262" s="143">
        <f t="shared" si="19"/>
        <v>49</v>
      </c>
      <c r="C1262" s="138" t="str">
        <f>TEXT(Таблица8[[#This Row],[Дата]],"М")</f>
        <v>11</v>
      </c>
      <c r="D1262" s="144">
        <v>44894</v>
      </c>
      <c r="E1262" s="143" t="s">
        <v>72</v>
      </c>
      <c r="F1262" s="143" t="s">
        <v>132</v>
      </c>
      <c r="G1262" s="147">
        <v>1500</v>
      </c>
      <c r="H1262" s="146"/>
    </row>
    <row r="1263" spans="2:8" x14ac:dyDescent="0.2">
      <c r="B1263" s="148">
        <f t="shared" si="19"/>
        <v>49</v>
      </c>
      <c r="C1263" s="168" t="str">
        <f>TEXT(Таблица8[[#This Row],[Дата]],"М")</f>
        <v>11</v>
      </c>
      <c r="D1263" s="144">
        <v>44894</v>
      </c>
      <c r="E1263" s="143" t="s">
        <v>19</v>
      </c>
      <c r="F1263" s="143" t="s">
        <v>96</v>
      </c>
      <c r="G1263" s="149">
        <v>40</v>
      </c>
      <c r="H1263" s="150"/>
    </row>
    <row r="1264" spans="2:8" x14ac:dyDescent="0.2">
      <c r="B1264" s="137">
        <f t="shared" si="19"/>
        <v>49</v>
      </c>
      <c r="C1264" s="167" t="str">
        <f>TEXT(Таблица8[[#This Row],[Дата]],"М")</f>
        <v>11</v>
      </c>
      <c r="D1264" s="139">
        <v>44895</v>
      </c>
      <c r="E1264" s="137" t="s">
        <v>19</v>
      </c>
      <c r="F1264" s="137" t="s">
        <v>96</v>
      </c>
      <c r="G1264" s="140">
        <f>505+173+25</f>
        <v>703</v>
      </c>
      <c r="H1264" s="141"/>
    </row>
    <row r="1265" spans="2:8" x14ac:dyDescent="0.2">
      <c r="B1265" s="143">
        <f t="shared" si="19"/>
        <v>49</v>
      </c>
      <c r="C1265" s="138" t="str">
        <f>TEXT(Таблица8[[#This Row],[Дата]],"М")</f>
        <v>11</v>
      </c>
      <c r="D1265" s="144">
        <v>44895</v>
      </c>
      <c r="E1265" s="143" t="s">
        <v>22</v>
      </c>
      <c r="F1265" s="143" t="s">
        <v>141</v>
      </c>
      <c r="G1265" s="147">
        <v>5</v>
      </c>
      <c r="H1265" s="146" t="s">
        <v>142</v>
      </c>
    </row>
    <row r="1266" spans="2:8" x14ac:dyDescent="0.2">
      <c r="B1266" s="148">
        <f t="shared" si="19"/>
        <v>49</v>
      </c>
      <c r="C1266" s="168" t="str">
        <f>TEXT(Таблица8[[#This Row],[Дата]],"М")</f>
        <v>11</v>
      </c>
      <c r="D1266" s="144">
        <v>44895</v>
      </c>
      <c r="E1266" s="148" t="s">
        <v>24</v>
      </c>
      <c r="F1266" s="148" t="s">
        <v>119</v>
      </c>
      <c r="G1266" s="147">
        <v>550</v>
      </c>
      <c r="H1266" s="150"/>
    </row>
    <row r="1267" spans="2:8" x14ac:dyDescent="0.2">
      <c r="B1267" s="143">
        <f t="shared" si="19"/>
        <v>49</v>
      </c>
      <c r="C1267" s="138" t="str">
        <f>TEXT(Таблица8[[#This Row],[Дата]],"М")</f>
        <v>11</v>
      </c>
      <c r="D1267" s="144">
        <v>44895</v>
      </c>
      <c r="E1267" s="143" t="s">
        <v>22</v>
      </c>
      <c r="F1267" s="143" t="s">
        <v>38</v>
      </c>
      <c r="G1267" s="147">
        <v>100</v>
      </c>
      <c r="H1267" s="146" t="s">
        <v>143</v>
      </c>
    </row>
    <row r="1268" spans="2:8" x14ac:dyDescent="0.2">
      <c r="B1268" s="143">
        <f t="shared" ref="B1268:B1331" si="20">WEEKNUM(D1268)</f>
        <v>49</v>
      </c>
      <c r="C1268" s="138" t="str">
        <f>TEXT(Таблица8[[#This Row],[Дата]],"М")</f>
        <v>11</v>
      </c>
      <c r="D1268" s="144">
        <v>44895</v>
      </c>
      <c r="E1268" s="143" t="s">
        <v>72</v>
      </c>
      <c r="F1268" s="143" t="s">
        <v>132</v>
      </c>
      <c r="G1268" s="147">
        <v>4000</v>
      </c>
      <c r="H1268" s="146" t="s">
        <v>133</v>
      </c>
    </row>
    <row r="1269" spans="2:8" x14ac:dyDescent="0.2">
      <c r="B1269" s="148">
        <f t="shared" si="20"/>
        <v>49</v>
      </c>
      <c r="C1269" s="168" t="str">
        <f>TEXT(Таблица8[[#This Row],[Дата]],"М")</f>
        <v>11</v>
      </c>
      <c r="D1269" s="161">
        <v>44895</v>
      </c>
      <c r="E1269" s="148" t="s">
        <v>29</v>
      </c>
      <c r="F1269" s="148" t="s">
        <v>105</v>
      </c>
      <c r="G1269" s="149">
        <v>250</v>
      </c>
      <c r="H1269" s="150"/>
    </row>
    <row r="1270" spans="2:8" x14ac:dyDescent="0.2">
      <c r="B1270" s="137">
        <f t="shared" si="20"/>
        <v>49</v>
      </c>
      <c r="C1270" s="167" t="str">
        <f>TEXT(Таблица8[[#This Row],[Дата]],"М")</f>
        <v>12</v>
      </c>
      <c r="D1270" s="162">
        <v>44896</v>
      </c>
      <c r="E1270" s="137" t="s">
        <v>20</v>
      </c>
      <c r="F1270" s="137" t="s">
        <v>95</v>
      </c>
      <c r="G1270" s="140">
        <v>109</v>
      </c>
      <c r="H1270" s="141"/>
    </row>
    <row r="1271" spans="2:8" x14ac:dyDescent="0.2">
      <c r="B1271" s="143">
        <f t="shared" si="20"/>
        <v>49</v>
      </c>
      <c r="C1271" s="138" t="str">
        <f>TEXT(Таблица8[[#This Row],[Дата]],"М")</f>
        <v>12</v>
      </c>
      <c r="D1271" s="144">
        <v>44896</v>
      </c>
      <c r="E1271" s="143" t="s">
        <v>71</v>
      </c>
      <c r="F1271" s="143" t="s">
        <v>94</v>
      </c>
      <c r="G1271" s="147">
        <f>22*4</f>
        <v>88</v>
      </c>
      <c r="H1271" s="146"/>
    </row>
    <row r="1272" spans="2:8" x14ac:dyDescent="0.2">
      <c r="B1272" s="143">
        <f t="shared" si="20"/>
        <v>49</v>
      </c>
      <c r="C1272" s="138" t="str">
        <f>TEXT(Таблица8[[#This Row],[Дата]],"М")</f>
        <v>12</v>
      </c>
      <c r="D1272" s="144">
        <v>44896</v>
      </c>
      <c r="E1272" s="143" t="s">
        <v>23</v>
      </c>
      <c r="F1272" s="143" t="s">
        <v>129</v>
      </c>
      <c r="G1272" s="147">
        <v>700</v>
      </c>
      <c r="H1272" s="146" t="s">
        <v>144</v>
      </c>
    </row>
    <row r="1273" spans="2:8" x14ac:dyDescent="0.2">
      <c r="B1273" s="143">
        <f t="shared" si="20"/>
        <v>49</v>
      </c>
      <c r="C1273" s="138" t="str">
        <f>TEXT(Таблица8[[#This Row],[Дата]],"М")</f>
        <v>12</v>
      </c>
      <c r="D1273" s="144">
        <v>44896</v>
      </c>
      <c r="E1273" s="143" t="s">
        <v>72</v>
      </c>
      <c r="F1273" s="143" t="s">
        <v>132</v>
      </c>
      <c r="G1273" s="147">
        <v>510</v>
      </c>
      <c r="H1273" s="146"/>
    </row>
    <row r="1274" spans="2:8" x14ac:dyDescent="0.2">
      <c r="B1274" s="148">
        <f t="shared" si="20"/>
        <v>49</v>
      </c>
      <c r="C1274" s="168" t="str">
        <f>TEXT(Таблица8[[#This Row],[Дата]],"М")</f>
        <v>12</v>
      </c>
      <c r="D1274" s="161">
        <v>44896</v>
      </c>
      <c r="E1274" s="143" t="s">
        <v>72</v>
      </c>
      <c r="F1274" s="148" t="s">
        <v>40</v>
      </c>
      <c r="G1274" s="149">
        <v>1000</v>
      </c>
      <c r="H1274" s="150"/>
    </row>
    <row r="1275" spans="2:8" x14ac:dyDescent="0.2">
      <c r="B1275" s="143">
        <f t="shared" si="20"/>
        <v>49</v>
      </c>
      <c r="C1275" s="138" t="str">
        <f>TEXT(Таблица8[[#This Row],[Дата]],"М")</f>
        <v>12</v>
      </c>
      <c r="D1275" s="161">
        <v>44896</v>
      </c>
      <c r="E1275" s="143" t="s">
        <v>72</v>
      </c>
      <c r="F1275" s="143" t="s">
        <v>38</v>
      </c>
      <c r="G1275" s="147">
        <v>250</v>
      </c>
      <c r="H1275" s="146" t="s">
        <v>145</v>
      </c>
    </row>
    <row r="1276" spans="2:8" x14ac:dyDescent="0.2">
      <c r="B1276" s="143">
        <f t="shared" si="20"/>
        <v>49</v>
      </c>
      <c r="C1276" s="138" t="str">
        <f>TEXT(Таблица8[[#This Row],[Дата]],"М")</f>
        <v>12</v>
      </c>
      <c r="D1276" s="161">
        <v>44896</v>
      </c>
      <c r="E1276" s="143" t="s">
        <v>72</v>
      </c>
      <c r="F1276" s="143" t="s">
        <v>44</v>
      </c>
      <c r="G1276" s="147">
        <v>250</v>
      </c>
      <c r="H1276" s="146"/>
    </row>
    <row r="1277" spans="2:8" x14ac:dyDescent="0.2">
      <c r="B1277" s="143">
        <f t="shared" si="20"/>
        <v>49</v>
      </c>
      <c r="C1277" s="138" t="str">
        <f>TEXT(Таблица8[[#This Row],[Дата]],"М")</f>
        <v>12</v>
      </c>
      <c r="D1277" s="161">
        <v>44896</v>
      </c>
      <c r="E1277" s="143" t="s">
        <v>19</v>
      </c>
      <c r="F1277" s="143" t="s">
        <v>96</v>
      </c>
      <c r="G1277" s="147">
        <v>80</v>
      </c>
      <c r="H1277" s="146"/>
    </row>
    <row r="1278" spans="2:8" x14ac:dyDescent="0.2">
      <c r="B1278" s="151">
        <f t="shared" si="20"/>
        <v>49</v>
      </c>
      <c r="C1278" s="169" t="str">
        <f>TEXT(Таблица8[[#This Row],[Дата]],"М")</f>
        <v>12</v>
      </c>
      <c r="D1278" s="162">
        <v>44897</v>
      </c>
      <c r="E1278" s="151" t="s">
        <v>23</v>
      </c>
      <c r="F1278" s="151" t="s">
        <v>137</v>
      </c>
      <c r="G1278" s="152">
        <v>500</v>
      </c>
      <c r="H1278" s="153" t="s">
        <v>146</v>
      </c>
    </row>
    <row r="1279" spans="2:8" x14ac:dyDescent="0.2">
      <c r="B1279" s="143">
        <f t="shared" si="20"/>
        <v>49</v>
      </c>
      <c r="C1279" s="138" t="str">
        <f>TEXT(Таблица8[[#This Row],[Дата]],"М")</f>
        <v>12</v>
      </c>
      <c r="D1279" s="161">
        <v>44897</v>
      </c>
      <c r="E1279" s="143" t="s">
        <v>19</v>
      </c>
      <c r="F1279" s="143" t="s">
        <v>96</v>
      </c>
      <c r="G1279" s="147">
        <v>528</v>
      </c>
      <c r="H1279" s="146"/>
    </row>
    <row r="1280" spans="2:8" x14ac:dyDescent="0.2">
      <c r="B1280" s="143">
        <f t="shared" si="20"/>
        <v>49</v>
      </c>
      <c r="C1280" s="138" t="str">
        <f>TEXT(Таблица8[[#This Row],[Дата]],"М")</f>
        <v>12</v>
      </c>
      <c r="D1280" s="161">
        <v>44897</v>
      </c>
      <c r="E1280" s="143" t="s">
        <v>20</v>
      </c>
      <c r="F1280" s="143" t="s">
        <v>97</v>
      </c>
      <c r="G1280" s="147">
        <v>270</v>
      </c>
      <c r="H1280" s="146"/>
    </row>
    <row r="1281" spans="2:8" x14ac:dyDescent="0.2">
      <c r="B1281" s="137">
        <f t="shared" si="20"/>
        <v>49</v>
      </c>
      <c r="C1281" s="167" t="str">
        <f>TEXT(Таблица8[[#This Row],[Дата]],"М")</f>
        <v>12</v>
      </c>
      <c r="D1281" s="162">
        <v>44898</v>
      </c>
      <c r="E1281" s="151" t="s">
        <v>71</v>
      </c>
      <c r="F1281" s="151" t="s">
        <v>94</v>
      </c>
      <c r="G1281" s="140">
        <v>44</v>
      </c>
      <c r="H1281" s="141"/>
    </row>
    <row r="1282" spans="2:8" x14ac:dyDescent="0.2">
      <c r="B1282" s="143">
        <f t="shared" si="20"/>
        <v>49</v>
      </c>
      <c r="C1282" s="138" t="str">
        <f>TEXT(Таблица8[[#This Row],[Дата]],"М")</f>
        <v>12</v>
      </c>
      <c r="D1282" s="161">
        <v>44898</v>
      </c>
      <c r="E1282" s="143" t="s">
        <v>20</v>
      </c>
      <c r="F1282" s="143" t="s">
        <v>99</v>
      </c>
      <c r="G1282" s="147">
        <v>286</v>
      </c>
      <c r="H1282" s="146"/>
    </row>
    <row r="1283" spans="2:8" x14ac:dyDescent="0.2">
      <c r="B1283" s="143">
        <f t="shared" si="20"/>
        <v>49</v>
      </c>
      <c r="C1283" s="138" t="str">
        <f>TEXT(Таблица8[[#This Row],[Дата]],"М")</f>
        <v>12</v>
      </c>
      <c r="D1283" s="161">
        <v>44898</v>
      </c>
      <c r="E1283" s="143" t="s">
        <v>20</v>
      </c>
      <c r="F1283" s="143" t="s">
        <v>95</v>
      </c>
      <c r="G1283" s="147">
        <v>50</v>
      </c>
      <c r="H1283" s="146"/>
    </row>
    <row r="1284" spans="2:8" x14ac:dyDescent="0.2">
      <c r="B1284" s="151">
        <f t="shared" si="20"/>
        <v>50</v>
      </c>
      <c r="C1284" s="169" t="str">
        <f>TEXT(Таблица8[[#This Row],[Дата]],"М")</f>
        <v>12</v>
      </c>
      <c r="D1284" s="162">
        <v>44899</v>
      </c>
      <c r="E1284" s="151" t="s">
        <v>71</v>
      </c>
      <c r="F1284" s="151" t="s">
        <v>94</v>
      </c>
      <c r="G1284" s="152">
        <v>44</v>
      </c>
      <c r="H1284" s="153"/>
    </row>
    <row r="1285" spans="2:8" x14ac:dyDescent="0.2">
      <c r="B1285" s="143">
        <f t="shared" si="20"/>
        <v>50</v>
      </c>
      <c r="C1285" s="138" t="str">
        <f>TEXT(Таблица8[[#This Row],[Дата]],"М")</f>
        <v>12</v>
      </c>
      <c r="D1285" s="161">
        <v>44899</v>
      </c>
      <c r="E1285" s="143" t="s">
        <v>20</v>
      </c>
      <c r="F1285" s="143" t="s">
        <v>99</v>
      </c>
      <c r="G1285" s="147">
        <v>325</v>
      </c>
      <c r="H1285" s="146"/>
    </row>
    <row r="1286" spans="2:8" x14ac:dyDescent="0.2">
      <c r="B1286" s="143">
        <f t="shared" si="20"/>
        <v>50</v>
      </c>
      <c r="C1286" s="138" t="str">
        <f>TEXT(Таблица8[[#This Row],[Дата]],"М")</f>
        <v>12</v>
      </c>
      <c r="D1286" s="161">
        <v>44899</v>
      </c>
      <c r="E1286" s="143" t="s">
        <v>19</v>
      </c>
      <c r="F1286" s="143" t="s">
        <v>96</v>
      </c>
      <c r="G1286" s="147">
        <f>56+50</f>
        <v>106</v>
      </c>
      <c r="H1286" s="146" t="s">
        <v>147</v>
      </c>
    </row>
    <row r="1287" spans="2:8" x14ac:dyDescent="0.2">
      <c r="B1287" s="143">
        <f t="shared" si="20"/>
        <v>50</v>
      </c>
      <c r="C1287" s="138" t="str">
        <f>TEXT(Таблица8[[#This Row],[Дата]],"М")</f>
        <v>12</v>
      </c>
      <c r="D1287" s="161">
        <v>44899</v>
      </c>
      <c r="E1287" s="143" t="s">
        <v>23</v>
      </c>
      <c r="F1287" s="143" t="s">
        <v>111</v>
      </c>
      <c r="G1287" s="147">
        <f>240-50</f>
        <v>190</v>
      </c>
      <c r="H1287" s="146"/>
    </row>
    <row r="1288" spans="2:8" x14ac:dyDescent="0.2">
      <c r="B1288" s="143">
        <f t="shared" si="20"/>
        <v>50</v>
      </c>
      <c r="C1288" s="138" t="str">
        <f>TEXT(Таблица8[[#This Row],[Дата]],"М")</f>
        <v>12</v>
      </c>
      <c r="D1288" s="161">
        <v>44899</v>
      </c>
      <c r="E1288" s="143" t="s">
        <v>72</v>
      </c>
      <c r="F1288" s="143" t="s">
        <v>38</v>
      </c>
      <c r="G1288" s="147">
        <v>150</v>
      </c>
      <c r="H1288" s="146" t="s">
        <v>145</v>
      </c>
    </row>
    <row r="1289" spans="2:8" x14ac:dyDescent="0.2">
      <c r="B1289" s="148">
        <f t="shared" si="20"/>
        <v>50</v>
      </c>
      <c r="C1289" s="168" t="str">
        <f>TEXT(Таблица8[[#This Row],[Дата]],"М")</f>
        <v>12</v>
      </c>
      <c r="D1289" s="161">
        <v>44899</v>
      </c>
      <c r="E1289" s="148" t="s">
        <v>72</v>
      </c>
      <c r="F1289" s="148" t="s">
        <v>40</v>
      </c>
      <c r="G1289" s="149">
        <v>600</v>
      </c>
      <c r="H1289" s="150"/>
    </row>
    <row r="1290" spans="2:8" x14ac:dyDescent="0.2">
      <c r="B1290" s="143">
        <f t="shared" si="20"/>
        <v>50</v>
      </c>
      <c r="C1290" s="138" t="str">
        <f>TEXT(Таблица8[[#This Row],[Дата]],"М")</f>
        <v>12</v>
      </c>
      <c r="D1290" s="161">
        <v>44899</v>
      </c>
      <c r="E1290" s="143" t="s">
        <v>72</v>
      </c>
      <c r="F1290" s="143" t="s">
        <v>44</v>
      </c>
      <c r="G1290" s="147">
        <v>200</v>
      </c>
      <c r="H1290" s="146"/>
    </row>
    <row r="1291" spans="2:8" x14ac:dyDescent="0.2">
      <c r="B1291" s="143">
        <f t="shared" si="20"/>
        <v>50</v>
      </c>
      <c r="C1291" s="138" t="str">
        <f>TEXT(Таблица8[[#This Row],[Дата]],"М")</f>
        <v>12</v>
      </c>
      <c r="D1291" s="161">
        <v>44899</v>
      </c>
      <c r="E1291" s="143" t="s">
        <v>72</v>
      </c>
      <c r="F1291" s="143" t="s">
        <v>124</v>
      </c>
      <c r="G1291" s="147">
        <v>135</v>
      </c>
      <c r="H1291" s="146"/>
    </row>
    <row r="1292" spans="2:8" x14ac:dyDescent="0.2">
      <c r="B1292" s="148">
        <f t="shared" si="20"/>
        <v>50</v>
      </c>
      <c r="C1292" s="168" t="str">
        <f>TEXT(Таблица8[[#This Row],[Дата]],"М")</f>
        <v>12</v>
      </c>
      <c r="D1292" s="161">
        <v>44899</v>
      </c>
      <c r="E1292" s="148" t="s">
        <v>72</v>
      </c>
      <c r="F1292" s="148" t="s">
        <v>38</v>
      </c>
      <c r="G1292" s="149">
        <v>250</v>
      </c>
      <c r="H1292" s="150"/>
    </row>
    <row r="1293" spans="2:8" x14ac:dyDescent="0.2">
      <c r="B1293" s="137">
        <f t="shared" si="20"/>
        <v>50</v>
      </c>
      <c r="C1293" s="167" t="str">
        <f>TEXT(Таблица8[[#This Row],[Дата]],"М")</f>
        <v>12</v>
      </c>
      <c r="D1293" s="162">
        <v>44900</v>
      </c>
      <c r="E1293" s="151" t="s">
        <v>71</v>
      </c>
      <c r="F1293" s="151" t="s">
        <v>94</v>
      </c>
      <c r="G1293" s="140">
        <f>22+32</f>
        <v>54</v>
      </c>
      <c r="H1293" s="141"/>
    </row>
    <row r="1294" spans="2:8" x14ac:dyDescent="0.2">
      <c r="B1294" s="143">
        <f t="shared" si="20"/>
        <v>50</v>
      </c>
      <c r="C1294" s="138" t="str">
        <f>TEXT(Таблица8[[#This Row],[Дата]],"М")</f>
        <v>12</v>
      </c>
      <c r="D1294" s="161">
        <v>44900</v>
      </c>
      <c r="E1294" s="143" t="s">
        <v>20</v>
      </c>
      <c r="F1294" s="143" t="s">
        <v>99</v>
      </c>
      <c r="G1294" s="147">
        <v>301</v>
      </c>
      <c r="H1294" s="146"/>
    </row>
    <row r="1295" spans="2:8" x14ac:dyDescent="0.2">
      <c r="B1295" s="148">
        <f t="shared" si="20"/>
        <v>50</v>
      </c>
      <c r="C1295" s="168" t="str">
        <f>TEXT(Таблица8[[#This Row],[Дата]],"М")</f>
        <v>12</v>
      </c>
      <c r="D1295" s="161">
        <v>44900</v>
      </c>
      <c r="E1295" s="143" t="s">
        <v>19</v>
      </c>
      <c r="F1295" s="143" t="s">
        <v>96</v>
      </c>
      <c r="G1295" s="149">
        <v>86</v>
      </c>
      <c r="H1295" s="150"/>
    </row>
    <row r="1296" spans="2:8" x14ac:dyDescent="0.2">
      <c r="B1296" s="137">
        <f t="shared" si="20"/>
        <v>50</v>
      </c>
      <c r="C1296" s="167" t="str">
        <f>TEXT(Таблица8[[#This Row],[Дата]],"М")</f>
        <v>12</v>
      </c>
      <c r="D1296" s="162">
        <v>44901</v>
      </c>
      <c r="E1296" s="137" t="s">
        <v>27</v>
      </c>
      <c r="F1296" s="137"/>
      <c r="G1296" s="140">
        <v>1000</v>
      </c>
      <c r="H1296" s="141" t="s">
        <v>148</v>
      </c>
    </row>
    <row r="1297" spans="2:8" x14ac:dyDescent="0.2">
      <c r="B1297" s="143">
        <f t="shared" si="20"/>
        <v>50</v>
      </c>
      <c r="C1297" s="138" t="str">
        <f>TEXT(Таблица8[[#This Row],[Дата]],"М")</f>
        <v>12</v>
      </c>
      <c r="D1297" s="161">
        <v>44901</v>
      </c>
      <c r="E1297" s="143" t="s">
        <v>19</v>
      </c>
      <c r="F1297" s="143" t="s">
        <v>96</v>
      </c>
      <c r="G1297" s="147">
        <v>345</v>
      </c>
      <c r="H1297" s="146"/>
    </row>
    <row r="1298" spans="2:8" x14ac:dyDescent="0.2">
      <c r="B1298" s="137">
        <f t="shared" si="20"/>
        <v>50</v>
      </c>
      <c r="C1298" s="167" t="str">
        <f>TEXT(Таблица8[[#This Row],[Дата]],"М")</f>
        <v>12</v>
      </c>
      <c r="D1298" s="162">
        <v>44902</v>
      </c>
      <c r="E1298" s="137" t="s">
        <v>20</v>
      </c>
      <c r="F1298" s="137" t="s">
        <v>102</v>
      </c>
      <c r="G1298" s="140">
        <f>619-G1299</f>
        <v>349</v>
      </c>
      <c r="H1298" s="141"/>
    </row>
    <row r="1299" spans="2:8" x14ac:dyDescent="0.2">
      <c r="B1299" s="143">
        <f t="shared" si="20"/>
        <v>50</v>
      </c>
      <c r="C1299" s="138" t="str">
        <f>TEXT(Таблица8[[#This Row],[Дата]],"М")</f>
        <v>12</v>
      </c>
      <c r="D1299" s="161">
        <v>44902</v>
      </c>
      <c r="E1299" s="143" t="s">
        <v>30</v>
      </c>
      <c r="F1299" s="143" t="s">
        <v>92</v>
      </c>
      <c r="G1299" s="147">
        <v>270</v>
      </c>
      <c r="H1299" s="146"/>
    </row>
    <row r="1300" spans="2:8" x14ac:dyDescent="0.2">
      <c r="B1300" s="143">
        <f t="shared" si="20"/>
        <v>50</v>
      </c>
      <c r="C1300" s="138" t="str">
        <f>TEXT(Таблица8[[#This Row],[Дата]],"М")</f>
        <v>12</v>
      </c>
      <c r="D1300" s="161">
        <v>44902</v>
      </c>
      <c r="E1300" s="143" t="s">
        <v>71</v>
      </c>
      <c r="F1300" s="143" t="s">
        <v>94</v>
      </c>
      <c r="G1300" s="147">
        <f>32+22</f>
        <v>54</v>
      </c>
      <c r="H1300" s="146"/>
    </row>
    <row r="1301" spans="2:8" x14ac:dyDescent="0.2">
      <c r="B1301" s="148">
        <f t="shared" si="20"/>
        <v>50</v>
      </c>
      <c r="C1301" s="168" t="str">
        <f>TEXT(Таблица8[[#This Row],[Дата]],"М")</f>
        <v>12</v>
      </c>
      <c r="D1301" s="161">
        <v>44902</v>
      </c>
      <c r="E1301" s="148" t="s">
        <v>23</v>
      </c>
      <c r="F1301" s="148" t="s">
        <v>103</v>
      </c>
      <c r="G1301" s="149">
        <v>425</v>
      </c>
      <c r="H1301" s="150" t="s">
        <v>149</v>
      </c>
    </row>
    <row r="1302" spans="2:8" x14ac:dyDescent="0.2">
      <c r="B1302" s="151">
        <f t="shared" si="20"/>
        <v>50</v>
      </c>
      <c r="C1302" s="169" t="str">
        <f>TEXT(Таблица8[[#This Row],[Дата]],"М")</f>
        <v>12</v>
      </c>
      <c r="D1302" s="162">
        <v>44903</v>
      </c>
      <c r="E1302" s="151" t="s">
        <v>71</v>
      </c>
      <c r="F1302" s="151" t="s">
        <v>94</v>
      </c>
      <c r="G1302" s="152">
        <f>22*2</f>
        <v>44</v>
      </c>
      <c r="H1302" s="153"/>
    </row>
    <row r="1303" spans="2:8" x14ac:dyDescent="0.2">
      <c r="B1303" s="143">
        <f t="shared" si="20"/>
        <v>50</v>
      </c>
      <c r="C1303" s="138" t="str">
        <f>TEXT(Таблица8[[#This Row],[Дата]],"М")</f>
        <v>12</v>
      </c>
      <c r="D1303" s="144">
        <v>44903</v>
      </c>
      <c r="E1303" s="143" t="s">
        <v>20</v>
      </c>
      <c r="F1303" s="143" t="s">
        <v>95</v>
      </c>
      <c r="G1303" s="147">
        <v>145</v>
      </c>
      <c r="H1303" s="146" t="s">
        <v>150</v>
      </c>
    </row>
    <row r="1304" spans="2:8" x14ac:dyDescent="0.2">
      <c r="B1304" s="143">
        <f t="shared" si="20"/>
        <v>50</v>
      </c>
      <c r="C1304" s="138" t="str">
        <f>TEXT(Таблица8[[#This Row],[Дата]],"М")</f>
        <v>12</v>
      </c>
      <c r="D1304" s="144">
        <v>44903</v>
      </c>
      <c r="E1304" s="143" t="s">
        <v>19</v>
      </c>
      <c r="F1304" s="143" t="s">
        <v>96</v>
      </c>
      <c r="G1304" s="147">
        <f>495+80</f>
        <v>575</v>
      </c>
      <c r="H1304" s="146"/>
    </row>
    <row r="1305" spans="2:8" x14ac:dyDescent="0.2">
      <c r="B1305" s="137">
        <f t="shared" si="20"/>
        <v>50</v>
      </c>
      <c r="C1305" s="167" t="str">
        <f>TEXT(Таблица8[[#This Row],[Дата]],"М")</f>
        <v>12</v>
      </c>
      <c r="D1305" s="139">
        <v>44904</v>
      </c>
      <c r="E1305" s="151" t="s">
        <v>71</v>
      </c>
      <c r="F1305" s="151" t="s">
        <v>94</v>
      </c>
      <c r="G1305" s="140">
        <v>44</v>
      </c>
      <c r="H1305" s="141"/>
    </row>
    <row r="1306" spans="2:8" x14ac:dyDescent="0.2">
      <c r="B1306" s="143">
        <f t="shared" si="20"/>
        <v>50</v>
      </c>
      <c r="C1306" s="138" t="str">
        <f>TEXT(Таблица8[[#This Row],[Дата]],"М")</f>
        <v>12</v>
      </c>
      <c r="D1306" s="144">
        <v>44904</v>
      </c>
      <c r="E1306" s="143" t="s">
        <v>19</v>
      </c>
      <c r="F1306" s="143" t="s">
        <v>131</v>
      </c>
      <c r="G1306" s="147">
        <v>60</v>
      </c>
      <c r="H1306" s="146" t="s">
        <v>151</v>
      </c>
    </row>
    <row r="1307" spans="2:8" x14ac:dyDescent="0.2">
      <c r="B1307" s="151">
        <f t="shared" si="20"/>
        <v>50</v>
      </c>
      <c r="C1307" s="169" t="str">
        <f>TEXT(Таблица8[[#This Row],[Дата]],"М")</f>
        <v>12</v>
      </c>
      <c r="D1307" s="139">
        <v>44905</v>
      </c>
      <c r="E1307" s="151" t="s">
        <v>71</v>
      </c>
      <c r="F1307" s="151" t="s">
        <v>94</v>
      </c>
      <c r="G1307" s="152">
        <v>44</v>
      </c>
      <c r="H1307" s="153"/>
    </row>
    <row r="1308" spans="2:8" x14ac:dyDescent="0.2">
      <c r="B1308" s="143">
        <f t="shared" si="20"/>
        <v>50</v>
      </c>
      <c r="C1308" s="138" t="str">
        <f>TEXT(Таблица8[[#This Row],[Дата]],"М")</f>
        <v>12</v>
      </c>
      <c r="D1308" s="144">
        <v>44905</v>
      </c>
      <c r="E1308" s="143" t="s">
        <v>20</v>
      </c>
      <c r="F1308" s="143" t="s">
        <v>99</v>
      </c>
      <c r="G1308" s="147">
        <f>294+145</f>
        <v>439</v>
      </c>
      <c r="H1308" s="146"/>
    </row>
    <row r="1309" spans="2:8" x14ac:dyDescent="0.2">
      <c r="B1309" s="137">
        <f t="shared" si="20"/>
        <v>51</v>
      </c>
      <c r="C1309" s="167" t="str">
        <f>TEXT(Таблица8[[#This Row],[Дата]],"М")</f>
        <v>12</v>
      </c>
      <c r="D1309" s="139">
        <v>44906</v>
      </c>
      <c r="E1309" s="151" t="s">
        <v>71</v>
      </c>
      <c r="F1309" s="151" t="s">
        <v>94</v>
      </c>
      <c r="G1309" s="140">
        <v>44</v>
      </c>
      <c r="H1309" s="141"/>
    </row>
    <row r="1310" spans="2:8" x14ac:dyDescent="0.2">
      <c r="B1310" s="148">
        <f t="shared" si="20"/>
        <v>51</v>
      </c>
      <c r="C1310" s="168" t="str">
        <f>TEXT(Таблица8[[#This Row],[Дата]],"М")</f>
        <v>12</v>
      </c>
      <c r="D1310" s="144">
        <v>44906</v>
      </c>
      <c r="E1310" s="143" t="s">
        <v>20</v>
      </c>
      <c r="F1310" s="143" t="s">
        <v>99</v>
      </c>
      <c r="G1310" s="149">
        <v>279</v>
      </c>
      <c r="H1310" s="150"/>
    </row>
    <row r="1311" spans="2:8" x14ac:dyDescent="0.2">
      <c r="B1311" s="143">
        <f t="shared" si="20"/>
        <v>51</v>
      </c>
      <c r="C1311" s="138" t="str">
        <f>TEXT(Таблица8[[#This Row],[Дата]],"М")</f>
        <v>12</v>
      </c>
      <c r="D1311" s="144">
        <v>44906</v>
      </c>
      <c r="E1311" s="143" t="s">
        <v>19</v>
      </c>
      <c r="F1311" s="143" t="s">
        <v>96</v>
      </c>
      <c r="G1311" s="147">
        <v>459</v>
      </c>
      <c r="H1311" s="146" t="s">
        <v>96</v>
      </c>
    </row>
    <row r="1312" spans="2:8" x14ac:dyDescent="0.2">
      <c r="B1312" s="143">
        <f t="shared" si="20"/>
        <v>51</v>
      </c>
      <c r="C1312" s="138" t="str">
        <f>TEXT(Таблица8[[#This Row],[Дата]],"М")</f>
        <v>12</v>
      </c>
      <c r="D1312" s="144">
        <v>44906</v>
      </c>
      <c r="E1312" s="143" t="s">
        <v>19</v>
      </c>
      <c r="F1312" s="143" t="s">
        <v>131</v>
      </c>
      <c r="G1312" s="147">
        <v>700</v>
      </c>
      <c r="H1312" s="146" t="s">
        <v>152</v>
      </c>
    </row>
    <row r="1313" spans="2:8" x14ac:dyDescent="0.2">
      <c r="B1313" s="137">
        <f t="shared" si="20"/>
        <v>51</v>
      </c>
      <c r="C1313" s="167" t="str">
        <f>TEXT(Таблица8[[#This Row],[Дата]],"М")</f>
        <v>12</v>
      </c>
      <c r="D1313" s="139">
        <v>44907</v>
      </c>
      <c r="E1313" s="137" t="s">
        <v>20</v>
      </c>
      <c r="F1313" s="137" t="s">
        <v>136</v>
      </c>
      <c r="G1313" s="140">
        <f>560+65</f>
        <v>625</v>
      </c>
      <c r="H1313" s="141" t="s">
        <v>153</v>
      </c>
    </row>
    <row r="1314" spans="2:8" x14ac:dyDescent="0.2">
      <c r="B1314" s="143">
        <f t="shared" si="20"/>
        <v>51</v>
      </c>
      <c r="C1314" s="138" t="str">
        <f>TEXT(Таблица8[[#This Row],[Дата]],"М")</f>
        <v>12</v>
      </c>
      <c r="D1314" s="144">
        <v>44907</v>
      </c>
      <c r="E1314" s="143" t="s">
        <v>20</v>
      </c>
      <c r="F1314" s="143" t="s">
        <v>95</v>
      </c>
      <c r="G1314" s="147">
        <f>143+90</f>
        <v>233</v>
      </c>
      <c r="H1314" s="146"/>
    </row>
    <row r="1315" spans="2:8" x14ac:dyDescent="0.2">
      <c r="B1315" s="137">
        <f t="shared" si="20"/>
        <v>51</v>
      </c>
      <c r="C1315" s="167" t="str">
        <f>TEXT(Таблица8[[#This Row],[Дата]],"М")</f>
        <v>12</v>
      </c>
      <c r="D1315" s="139">
        <v>44908</v>
      </c>
      <c r="E1315" s="137" t="s">
        <v>19</v>
      </c>
      <c r="F1315" s="137" t="s">
        <v>96</v>
      </c>
      <c r="G1315" s="140">
        <v>1042</v>
      </c>
      <c r="H1315" s="141"/>
    </row>
    <row r="1316" spans="2:8" x14ac:dyDescent="0.2">
      <c r="B1316" s="143">
        <f t="shared" si="20"/>
        <v>51</v>
      </c>
      <c r="C1316" s="138" t="str">
        <f>TEXT(Таблица8[[#This Row],[Дата]],"М")</f>
        <v>12</v>
      </c>
      <c r="D1316" s="144">
        <v>44908</v>
      </c>
      <c r="E1316" s="143" t="s">
        <v>20</v>
      </c>
      <c r="F1316" s="143" t="s">
        <v>95</v>
      </c>
      <c r="G1316" s="147">
        <v>140</v>
      </c>
      <c r="H1316" s="146" t="s">
        <v>154</v>
      </c>
    </row>
    <row r="1317" spans="2:8" x14ac:dyDescent="0.2">
      <c r="B1317" s="143">
        <f t="shared" si="20"/>
        <v>51</v>
      </c>
      <c r="C1317" s="138" t="str">
        <f>TEXT(Таблица8[[#This Row],[Дата]],"М")</f>
        <v>12</v>
      </c>
      <c r="D1317" s="144">
        <v>44908</v>
      </c>
      <c r="E1317" s="143" t="s">
        <v>71</v>
      </c>
      <c r="F1317" s="143" t="s">
        <v>94</v>
      </c>
      <c r="G1317" s="147">
        <v>22</v>
      </c>
      <c r="H1317" s="146"/>
    </row>
    <row r="1318" spans="2:8" x14ac:dyDescent="0.2">
      <c r="B1318" s="137">
        <f t="shared" si="20"/>
        <v>51</v>
      </c>
      <c r="C1318" s="167" t="str">
        <f>TEXT(Таблица8[[#This Row],[Дата]],"М")</f>
        <v>12</v>
      </c>
      <c r="D1318" s="139">
        <v>44909</v>
      </c>
      <c r="E1318" s="137" t="s">
        <v>19</v>
      </c>
      <c r="F1318" s="137" t="s">
        <v>96</v>
      </c>
      <c r="G1318" s="140">
        <v>422</v>
      </c>
      <c r="H1318" s="141"/>
    </row>
    <row r="1319" spans="2:8" x14ac:dyDescent="0.2">
      <c r="B1319" s="143">
        <f t="shared" si="20"/>
        <v>51</v>
      </c>
      <c r="C1319" s="138" t="str">
        <f>TEXT(Таблица8[[#This Row],[Дата]],"М")</f>
        <v>12</v>
      </c>
      <c r="D1319" s="144">
        <v>44909</v>
      </c>
      <c r="E1319" s="143" t="s">
        <v>20</v>
      </c>
      <c r="F1319" s="143" t="s">
        <v>95</v>
      </c>
      <c r="G1319" s="147">
        <f>5+113+90</f>
        <v>208</v>
      </c>
      <c r="H1319" s="146"/>
    </row>
    <row r="1320" spans="2:8" x14ac:dyDescent="0.2">
      <c r="B1320" s="137">
        <f t="shared" si="20"/>
        <v>51</v>
      </c>
      <c r="C1320" s="167" t="str">
        <f>TEXT(Таблица8[[#This Row],[Дата]],"М")</f>
        <v>12</v>
      </c>
      <c r="D1320" s="139">
        <v>44910</v>
      </c>
      <c r="E1320" s="151" t="s">
        <v>71</v>
      </c>
      <c r="F1320" s="151" t="s">
        <v>94</v>
      </c>
      <c r="G1320" s="140">
        <v>44</v>
      </c>
      <c r="H1320" s="141"/>
    </row>
    <row r="1321" spans="2:8" x14ac:dyDescent="0.2">
      <c r="B1321" s="143">
        <f t="shared" si="20"/>
        <v>51</v>
      </c>
      <c r="C1321" s="138" t="str">
        <f>TEXT(Таблица8[[#This Row],[Дата]],"М")</f>
        <v>12</v>
      </c>
      <c r="D1321" s="144">
        <v>44910</v>
      </c>
      <c r="E1321" s="143" t="s">
        <v>20</v>
      </c>
      <c r="F1321" s="143" t="s">
        <v>99</v>
      </c>
      <c r="G1321" s="147">
        <v>265</v>
      </c>
      <c r="H1321" s="146"/>
    </row>
    <row r="1322" spans="2:8" x14ac:dyDescent="0.2">
      <c r="B1322" s="143">
        <f t="shared" si="20"/>
        <v>51</v>
      </c>
      <c r="C1322" s="138" t="str">
        <f>TEXT(Таблица8[[#This Row],[Дата]],"М")</f>
        <v>12</v>
      </c>
      <c r="D1322" s="144">
        <v>44910</v>
      </c>
      <c r="E1322" s="143" t="s">
        <v>19</v>
      </c>
      <c r="F1322" s="143" t="s">
        <v>96</v>
      </c>
      <c r="G1322" s="147">
        <v>110</v>
      </c>
      <c r="H1322" s="146"/>
    </row>
    <row r="1323" spans="2:8" x14ac:dyDescent="0.2">
      <c r="B1323" s="137">
        <f t="shared" si="20"/>
        <v>51</v>
      </c>
      <c r="C1323" s="167" t="str">
        <f>TEXT(Таблица8[[#This Row],[Дата]],"М")</f>
        <v>12</v>
      </c>
      <c r="D1323" s="139">
        <v>44911</v>
      </c>
      <c r="E1323" s="151" t="s">
        <v>71</v>
      </c>
      <c r="F1323" s="151" t="s">
        <v>94</v>
      </c>
      <c r="G1323" s="140">
        <v>44</v>
      </c>
      <c r="H1323" s="141"/>
    </row>
    <row r="1324" spans="2:8" x14ac:dyDescent="0.2">
      <c r="B1324" s="143">
        <f t="shared" si="20"/>
        <v>51</v>
      </c>
      <c r="C1324" s="138" t="str">
        <f>TEXT(Таблица8[[#This Row],[Дата]],"М")</f>
        <v>12</v>
      </c>
      <c r="D1324" s="144">
        <v>44911</v>
      </c>
      <c r="E1324" s="143" t="s">
        <v>20</v>
      </c>
      <c r="F1324" s="143" t="s">
        <v>99</v>
      </c>
      <c r="G1324" s="147">
        <v>227</v>
      </c>
      <c r="H1324" s="146"/>
    </row>
    <row r="1325" spans="2:8" x14ac:dyDescent="0.2">
      <c r="B1325" s="143">
        <f t="shared" si="20"/>
        <v>51</v>
      </c>
      <c r="C1325" s="138" t="str">
        <f>TEXT(Таблица8[[#This Row],[Дата]],"М")</f>
        <v>12</v>
      </c>
      <c r="D1325" s="144">
        <v>44911</v>
      </c>
      <c r="E1325" s="143" t="s">
        <v>72</v>
      </c>
      <c r="F1325" s="143" t="s">
        <v>40</v>
      </c>
      <c r="G1325" s="147">
        <v>600</v>
      </c>
      <c r="H1325" s="146"/>
    </row>
    <row r="1326" spans="2:8" x14ac:dyDescent="0.2">
      <c r="B1326" s="143">
        <f t="shared" si="20"/>
        <v>51</v>
      </c>
      <c r="C1326" s="138" t="str">
        <f>TEXT(Таблица8[[#This Row],[Дата]],"М")</f>
        <v>12</v>
      </c>
      <c r="D1326" s="144">
        <v>44911</v>
      </c>
      <c r="E1326" s="143" t="s">
        <v>72</v>
      </c>
      <c r="F1326" s="143" t="s">
        <v>44</v>
      </c>
      <c r="G1326" s="147">
        <v>200</v>
      </c>
      <c r="H1326" s="146"/>
    </row>
    <row r="1327" spans="2:8" x14ac:dyDescent="0.2">
      <c r="B1327" s="143">
        <f t="shared" si="20"/>
        <v>51</v>
      </c>
      <c r="C1327" s="138" t="str">
        <f>TEXT(Таблица8[[#This Row],[Дата]],"М")</f>
        <v>12</v>
      </c>
      <c r="D1327" s="144">
        <v>44911</v>
      </c>
      <c r="E1327" s="143" t="s">
        <v>72</v>
      </c>
      <c r="F1327" s="143" t="s">
        <v>38</v>
      </c>
      <c r="G1327" s="147">
        <v>100</v>
      </c>
      <c r="H1327" s="146" t="s">
        <v>155</v>
      </c>
    </row>
    <row r="1328" spans="2:8" x14ac:dyDescent="0.2">
      <c r="B1328" s="143">
        <f t="shared" si="20"/>
        <v>51</v>
      </c>
      <c r="C1328" s="138" t="str">
        <f>TEXT(Таблица8[[#This Row],[Дата]],"М")</f>
        <v>12</v>
      </c>
      <c r="D1328" s="144">
        <v>44911</v>
      </c>
      <c r="E1328" s="143" t="s">
        <v>72</v>
      </c>
      <c r="F1328" s="143" t="s">
        <v>124</v>
      </c>
      <c r="G1328" s="147">
        <v>100</v>
      </c>
      <c r="H1328" s="146"/>
    </row>
    <row r="1329" spans="2:8" x14ac:dyDescent="0.2">
      <c r="B1329" s="143">
        <f t="shared" si="20"/>
        <v>51</v>
      </c>
      <c r="C1329" s="138" t="str">
        <f>TEXT(Таблица8[[#This Row],[Дата]],"М")</f>
        <v>12</v>
      </c>
      <c r="D1329" s="144">
        <v>44911</v>
      </c>
      <c r="E1329" s="143" t="s">
        <v>72</v>
      </c>
      <c r="F1329" s="143" t="s">
        <v>43</v>
      </c>
      <c r="G1329" s="147">
        <v>100</v>
      </c>
      <c r="H1329" s="146"/>
    </row>
    <row r="1330" spans="2:8" x14ac:dyDescent="0.2">
      <c r="B1330" s="137">
        <f t="shared" si="20"/>
        <v>51</v>
      </c>
      <c r="C1330" s="167" t="str">
        <f>TEXT(Таблица8[[#This Row],[Дата]],"М")</f>
        <v>12</v>
      </c>
      <c r="D1330" s="139">
        <v>44912</v>
      </c>
      <c r="E1330" s="151" t="s">
        <v>71</v>
      </c>
      <c r="F1330" s="151" t="s">
        <v>94</v>
      </c>
      <c r="G1330" s="140">
        <v>44</v>
      </c>
      <c r="H1330" s="141"/>
    </row>
    <row r="1331" spans="2:8" x14ac:dyDescent="0.2">
      <c r="B1331" s="143">
        <f t="shared" si="20"/>
        <v>51</v>
      </c>
      <c r="C1331" s="138" t="str">
        <f>TEXT(Таблица8[[#This Row],[Дата]],"М")</f>
        <v>12</v>
      </c>
      <c r="D1331" s="144">
        <v>44912</v>
      </c>
      <c r="E1331" s="143" t="s">
        <v>20</v>
      </c>
      <c r="F1331" s="143" t="s">
        <v>99</v>
      </c>
      <c r="G1331" s="147">
        <v>280</v>
      </c>
      <c r="H1331" s="146"/>
    </row>
    <row r="1332" spans="2:8" x14ac:dyDescent="0.2">
      <c r="B1332" s="143">
        <f t="shared" ref="B1332:B1398" si="21">WEEKNUM(D1332)</f>
        <v>51</v>
      </c>
      <c r="C1332" s="138" t="str">
        <f>TEXT(Таблица8[[#This Row],[Дата]],"М")</f>
        <v>12</v>
      </c>
      <c r="D1332" s="144">
        <v>44912</v>
      </c>
      <c r="E1332" s="143" t="s">
        <v>19</v>
      </c>
      <c r="F1332" s="143" t="s">
        <v>96</v>
      </c>
      <c r="G1332" s="147">
        <v>83</v>
      </c>
      <c r="H1332" s="146"/>
    </row>
    <row r="1333" spans="2:8" x14ac:dyDescent="0.2">
      <c r="B1333" s="143">
        <f t="shared" si="21"/>
        <v>51</v>
      </c>
      <c r="C1333" s="138" t="str">
        <f>TEXT(Таблица8[[#This Row],[Дата]],"М")</f>
        <v>12</v>
      </c>
      <c r="D1333" s="144">
        <v>44912</v>
      </c>
      <c r="E1333" s="143" t="s">
        <v>23</v>
      </c>
      <c r="F1333" s="143" t="s">
        <v>111</v>
      </c>
      <c r="G1333" s="147">
        <v>14</v>
      </c>
      <c r="H1333" s="146"/>
    </row>
    <row r="1334" spans="2:8" x14ac:dyDescent="0.2">
      <c r="B1334" s="137">
        <f t="shared" si="21"/>
        <v>52</v>
      </c>
      <c r="C1334" s="167" t="str">
        <f>TEXT(Таблица8[[#This Row],[Дата]],"М")</f>
        <v>12</v>
      </c>
      <c r="D1334" s="139">
        <v>44913</v>
      </c>
      <c r="E1334" s="137" t="s">
        <v>20</v>
      </c>
      <c r="F1334" s="137" t="s">
        <v>118</v>
      </c>
      <c r="G1334" s="163">
        <v>430</v>
      </c>
      <c r="H1334" s="160"/>
    </row>
    <row r="1335" spans="2:8" x14ac:dyDescent="0.2">
      <c r="B1335" s="143">
        <f t="shared" si="21"/>
        <v>52</v>
      </c>
      <c r="C1335" s="138" t="str">
        <f>TEXT(Таблица8[[#This Row],[Дата]],"М")</f>
        <v>12</v>
      </c>
      <c r="D1335" s="144">
        <v>44913</v>
      </c>
      <c r="E1335" s="143" t="s">
        <v>19</v>
      </c>
      <c r="F1335" s="143" t="s">
        <v>96</v>
      </c>
      <c r="G1335" s="147">
        <v>659</v>
      </c>
      <c r="H1335" s="146"/>
    </row>
    <row r="1336" spans="2:8" x14ac:dyDescent="0.2">
      <c r="B1336" s="137">
        <f t="shared" si="21"/>
        <v>52</v>
      </c>
      <c r="C1336" s="167" t="str">
        <f>TEXT(Таблица8[[#This Row],[Дата]],"М")</f>
        <v>12</v>
      </c>
      <c r="D1336" s="139">
        <v>44914</v>
      </c>
      <c r="E1336" s="137" t="s">
        <v>20</v>
      </c>
      <c r="F1336" s="137" t="s">
        <v>95</v>
      </c>
      <c r="G1336" s="140">
        <f>308-60</f>
        <v>248</v>
      </c>
      <c r="H1336" s="160"/>
    </row>
    <row r="1337" spans="2:8" x14ac:dyDescent="0.2">
      <c r="B1337" s="143">
        <f t="shared" si="21"/>
        <v>52</v>
      </c>
      <c r="C1337" s="138" t="str">
        <f>TEXT(Таблица8[[#This Row],[Дата]],"М")</f>
        <v>12</v>
      </c>
      <c r="D1337" s="144">
        <v>44914</v>
      </c>
      <c r="E1337" s="143" t="s">
        <v>19</v>
      </c>
      <c r="F1337" s="143" t="s">
        <v>96</v>
      </c>
      <c r="G1337" s="147">
        <v>60</v>
      </c>
      <c r="H1337" s="146" t="s">
        <v>156</v>
      </c>
    </row>
    <row r="1338" spans="2:8" x14ac:dyDescent="0.2">
      <c r="B1338" s="143">
        <f t="shared" si="21"/>
        <v>52</v>
      </c>
      <c r="C1338" s="138" t="str">
        <f>TEXT(Таблица8[[#This Row],[Дата]],"М")</f>
        <v>12</v>
      </c>
      <c r="D1338" s="144">
        <v>44914</v>
      </c>
      <c r="E1338" s="143" t="s">
        <v>23</v>
      </c>
      <c r="F1338" s="143" t="s">
        <v>137</v>
      </c>
      <c r="G1338" s="147">
        <v>500</v>
      </c>
      <c r="H1338" s="146" t="s">
        <v>146</v>
      </c>
    </row>
    <row r="1339" spans="2:8" x14ac:dyDescent="0.2">
      <c r="B1339" s="137">
        <f t="shared" si="21"/>
        <v>52</v>
      </c>
      <c r="C1339" s="167" t="str">
        <f>TEXT(Таблица8[[#This Row],[Дата]],"М")</f>
        <v>12</v>
      </c>
      <c r="D1339" s="139">
        <v>44915</v>
      </c>
      <c r="E1339" s="137" t="s">
        <v>30</v>
      </c>
      <c r="F1339" s="137" t="s">
        <v>92</v>
      </c>
      <c r="G1339" s="140">
        <v>570</v>
      </c>
      <c r="H1339" s="141"/>
    </row>
    <row r="1340" spans="2:8" x14ac:dyDescent="0.2">
      <c r="B1340" s="143">
        <f t="shared" si="21"/>
        <v>52</v>
      </c>
      <c r="C1340" s="138" t="str">
        <f>TEXT(Таблица8[[#This Row],[Дата]],"М")</f>
        <v>12</v>
      </c>
      <c r="D1340" s="144">
        <v>44915</v>
      </c>
      <c r="E1340" s="143" t="s">
        <v>20</v>
      </c>
      <c r="F1340" s="143" t="s">
        <v>95</v>
      </c>
      <c r="G1340" s="147">
        <v>230</v>
      </c>
      <c r="H1340" s="146"/>
    </row>
    <row r="1341" spans="2:8" x14ac:dyDescent="0.2">
      <c r="B1341" s="151">
        <f t="shared" si="21"/>
        <v>52</v>
      </c>
      <c r="C1341" s="169" t="str">
        <f>TEXT(Таблица8[[#This Row],[Дата]],"М")</f>
        <v>12</v>
      </c>
      <c r="D1341" s="139">
        <v>44916</v>
      </c>
      <c r="E1341" s="151" t="s">
        <v>20</v>
      </c>
      <c r="F1341" s="151" t="s">
        <v>118</v>
      </c>
      <c r="G1341" s="140">
        <v>200</v>
      </c>
      <c r="H1341" s="141"/>
    </row>
    <row r="1342" spans="2:8" x14ac:dyDescent="0.2">
      <c r="B1342" s="143">
        <f t="shared" si="21"/>
        <v>52</v>
      </c>
      <c r="C1342" s="138" t="str">
        <f>TEXT(Таблица8[[#This Row],[Дата]],"М")</f>
        <v>12</v>
      </c>
      <c r="D1342" s="144">
        <v>44916</v>
      </c>
      <c r="E1342" s="143" t="s">
        <v>71</v>
      </c>
      <c r="F1342" s="143" t="s">
        <v>94</v>
      </c>
      <c r="G1342" s="147">
        <v>44</v>
      </c>
      <c r="H1342" s="146"/>
    </row>
    <row r="1343" spans="2:8" ht="14.25" customHeight="1" x14ac:dyDescent="0.2">
      <c r="B1343" s="143">
        <f t="shared" si="21"/>
        <v>52</v>
      </c>
      <c r="C1343" s="138" t="str">
        <f>TEXT(Таблица8[[#This Row],[Дата]],"М")</f>
        <v>12</v>
      </c>
      <c r="D1343" s="144">
        <v>44916</v>
      </c>
      <c r="E1343" s="143" t="s">
        <v>20</v>
      </c>
      <c r="F1343" s="143" t="s">
        <v>99</v>
      </c>
      <c r="G1343" s="147">
        <v>322</v>
      </c>
      <c r="H1343" s="146"/>
    </row>
    <row r="1344" spans="2:8" ht="14.25" customHeight="1" x14ac:dyDescent="0.2">
      <c r="B1344" s="143">
        <f t="shared" si="21"/>
        <v>52</v>
      </c>
      <c r="C1344" s="138" t="str">
        <f>TEXT(Таблица8[[#This Row],[Дата]],"М")</f>
        <v>12</v>
      </c>
      <c r="D1344" s="144">
        <v>44916</v>
      </c>
      <c r="E1344" s="143" t="s">
        <v>19</v>
      </c>
      <c r="F1344" s="143" t="s">
        <v>96</v>
      </c>
      <c r="G1344" s="147">
        <v>584</v>
      </c>
      <c r="H1344" s="146"/>
    </row>
    <row r="1345" spans="2:8" x14ac:dyDescent="0.2">
      <c r="B1345" s="148">
        <f t="shared" si="21"/>
        <v>52</v>
      </c>
      <c r="C1345" s="168" t="str">
        <f>TEXT(Таблица8[[#This Row],[Дата]],"М")</f>
        <v>12</v>
      </c>
      <c r="D1345" s="161">
        <v>44916</v>
      </c>
      <c r="E1345" s="148" t="s">
        <v>24</v>
      </c>
      <c r="F1345" s="148" t="s">
        <v>119</v>
      </c>
      <c r="G1345" s="149">
        <v>400</v>
      </c>
      <c r="H1345" s="150"/>
    </row>
    <row r="1346" spans="2:8" x14ac:dyDescent="0.2">
      <c r="B1346" s="137">
        <f t="shared" si="21"/>
        <v>52</v>
      </c>
      <c r="C1346" s="167" t="str">
        <f>TEXT(Таблица8[[#This Row],[Дата]],"М")</f>
        <v>12</v>
      </c>
      <c r="D1346" s="162">
        <v>44917</v>
      </c>
      <c r="E1346" s="137" t="s">
        <v>71</v>
      </c>
      <c r="F1346" s="137" t="s">
        <v>94</v>
      </c>
      <c r="G1346" s="140">
        <f>22+32</f>
        <v>54</v>
      </c>
      <c r="H1346" s="141"/>
    </row>
    <row r="1347" spans="2:8" x14ac:dyDescent="0.2">
      <c r="B1347" s="143">
        <f t="shared" si="21"/>
        <v>52</v>
      </c>
      <c r="C1347" s="138" t="str">
        <f>TEXT(Таблица8[[#This Row],[Дата]],"М")</f>
        <v>12</v>
      </c>
      <c r="D1347" s="161">
        <v>44917</v>
      </c>
      <c r="E1347" s="143" t="s">
        <v>20</v>
      </c>
      <c r="F1347" s="143" t="s">
        <v>99</v>
      </c>
      <c r="G1347" s="147">
        <v>298</v>
      </c>
      <c r="H1347" s="146"/>
    </row>
    <row r="1348" spans="2:8" x14ac:dyDescent="0.2">
      <c r="B1348" s="143">
        <f t="shared" si="21"/>
        <v>52</v>
      </c>
      <c r="C1348" s="138" t="str">
        <f>TEXT(Таблица8[[#This Row],[Дата]],"М")</f>
        <v>12</v>
      </c>
      <c r="D1348" s="161">
        <v>44917</v>
      </c>
      <c r="E1348" s="143" t="s">
        <v>19</v>
      </c>
      <c r="F1348" s="143" t="s">
        <v>96</v>
      </c>
      <c r="G1348" s="147">
        <v>35</v>
      </c>
      <c r="H1348" s="146" t="s">
        <v>157</v>
      </c>
    </row>
    <row r="1349" spans="2:8" x14ac:dyDescent="0.2">
      <c r="B1349" s="148">
        <f t="shared" si="21"/>
        <v>52</v>
      </c>
      <c r="C1349" s="168" t="str">
        <f>TEXT(Таблица8[[#This Row],[Дата]],"М")</f>
        <v>12</v>
      </c>
      <c r="D1349" s="161">
        <v>44917</v>
      </c>
      <c r="E1349" s="148" t="s">
        <v>26</v>
      </c>
      <c r="F1349" s="148" t="s">
        <v>120</v>
      </c>
      <c r="G1349" s="149">
        <v>500</v>
      </c>
      <c r="H1349" s="150"/>
    </row>
    <row r="1350" spans="2:8" x14ac:dyDescent="0.2">
      <c r="B1350" s="143">
        <f t="shared" si="21"/>
        <v>52</v>
      </c>
      <c r="C1350" s="138" t="str">
        <f>TEXT(Таблица8[[#This Row],[Дата]],"М")</f>
        <v>12</v>
      </c>
      <c r="D1350" s="161">
        <v>44917</v>
      </c>
      <c r="E1350" s="143" t="s">
        <v>71</v>
      </c>
      <c r="F1350" s="143" t="s">
        <v>115</v>
      </c>
      <c r="G1350" s="147">
        <v>276</v>
      </c>
      <c r="H1350" s="146"/>
    </row>
    <row r="1351" spans="2:8" x14ac:dyDescent="0.2">
      <c r="B1351" s="137">
        <f t="shared" si="21"/>
        <v>52</v>
      </c>
      <c r="C1351" s="167" t="str">
        <f>TEXT(Таблица8[[#This Row],[Дата]],"М")</f>
        <v>12</v>
      </c>
      <c r="D1351" s="162">
        <v>44918</v>
      </c>
      <c r="E1351" s="137" t="s">
        <v>71</v>
      </c>
      <c r="F1351" s="137" t="s">
        <v>94</v>
      </c>
      <c r="G1351" s="140">
        <f>44</f>
        <v>44</v>
      </c>
      <c r="H1351" s="141"/>
    </row>
    <row r="1352" spans="2:8" x14ac:dyDescent="0.2">
      <c r="B1352" s="143">
        <f t="shared" si="21"/>
        <v>52</v>
      </c>
      <c r="C1352" s="138" t="str">
        <f>TEXT(Таблица8[[#This Row],[Дата]],"М")</f>
        <v>12</v>
      </c>
      <c r="D1352" s="144">
        <v>44918</v>
      </c>
      <c r="E1352" s="143" t="s">
        <v>20</v>
      </c>
      <c r="F1352" s="143" t="s">
        <v>99</v>
      </c>
      <c r="G1352" s="147">
        <v>328</v>
      </c>
      <c r="H1352" s="146"/>
    </row>
    <row r="1353" spans="2:8" x14ac:dyDescent="0.2">
      <c r="B1353" s="143">
        <f t="shared" si="21"/>
        <v>52</v>
      </c>
      <c r="C1353" s="138" t="str">
        <f>TEXT(Таблица8[[#This Row],[Дата]],"М")</f>
        <v>12</v>
      </c>
      <c r="D1353" s="144">
        <v>44918</v>
      </c>
      <c r="E1353" s="143" t="s">
        <v>29</v>
      </c>
      <c r="F1353" s="143" t="s">
        <v>107</v>
      </c>
      <c r="G1353" s="147">
        <v>350</v>
      </c>
      <c r="H1353" s="146"/>
    </row>
    <row r="1354" spans="2:8" x14ac:dyDescent="0.2">
      <c r="B1354" s="148">
        <f t="shared" si="21"/>
        <v>52</v>
      </c>
      <c r="C1354" s="168" t="str">
        <f>TEXT(Таблица8[[#This Row],[Дата]],"М")</f>
        <v>12</v>
      </c>
      <c r="D1354" s="161">
        <v>44918</v>
      </c>
      <c r="E1354" s="148" t="s">
        <v>24</v>
      </c>
      <c r="F1354" s="148" t="s">
        <v>124</v>
      </c>
      <c r="G1354" s="149">
        <v>150</v>
      </c>
      <c r="H1354" s="150"/>
    </row>
    <row r="1355" spans="2:8" x14ac:dyDescent="0.2">
      <c r="B1355" s="137">
        <f t="shared" si="21"/>
        <v>52</v>
      </c>
      <c r="C1355" s="167" t="str">
        <f>TEXT(Таблица8[[#This Row],[Дата]],"М")</f>
        <v>12</v>
      </c>
      <c r="D1355" s="162">
        <v>44919</v>
      </c>
      <c r="E1355" s="137" t="s">
        <v>72</v>
      </c>
      <c r="F1355" s="137" t="s">
        <v>38</v>
      </c>
      <c r="G1355" s="140">
        <v>2000</v>
      </c>
      <c r="H1355" s="141" t="s">
        <v>158</v>
      </c>
    </row>
    <row r="1356" spans="2:8" x14ac:dyDescent="0.2">
      <c r="B1356" s="143">
        <f t="shared" si="21"/>
        <v>52</v>
      </c>
      <c r="C1356" s="138" t="str">
        <f>TEXT(Таблица8[[#This Row],[Дата]],"М")</f>
        <v>12</v>
      </c>
      <c r="D1356" s="161">
        <v>44919</v>
      </c>
      <c r="E1356" s="143" t="s">
        <v>26</v>
      </c>
      <c r="F1356" s="143" t="s">
        <v>120</v>
      </c>
      <c r="G1356" s="147">
        <v>799</v>
      </c>
      <c r="H1356" s="146" t="s">
        <v>159</v>
      </c>
    </row>
    <row r="1357" spans="2:8" x14ac:dyDescent="0.2">
      <c r="B1357" s="143">
        <f t="shared" si="21"/>
        <v>52</v>
      </c>
      <c r="C1357" s="138" t="str">
        <f>TEXT(Таблица8[[#This Row],[Дата]],"М")</f>
        <v>12</v>
      </c>
      <c r="D1357" s="161">
        <v>44919</v>
      </c>
      <c r="E1357" s="143" t="s">
        <v>20</v>
      </c>
      <c r="F1357" s="143" t="s">
        <v>118</v>
      </c>
      <c r="G1357" s="147">
        <v>153</v>
      </c>
      <c r="H1357" s="146"/>
    </row>
    <row r="1358" spans="2:8" x14ac:dyDescent="0.2">
      <c r="B1358" s="143">
        <f t="shared" si="21"/>
        <v>52</v>
      </c>
      <c r="C1358" s="138" t="str">
        <f>TEXT(Таблица8[[#This Row],[Дата]],"М")</f>
        <v>12</v>
      </c>
      <c r="D1358" s="161">
        <v>44919</v>
      </c>
      <c r="E1358" s="143" t="s">
        <v>23</v>
      </c>
      <c r="F1358" s="143" t="s">
        <v>103</v>
      </c>
      <c r="G1358" s="147">
        <f>150+49</f>
        <v>199</v>
      </c>
      <c r="H1358" s="146"/>
    </row>
    <row r="1359" spans="2:8" x14ac:dyDescent="0.2">
      <c r="B1359" s="143">
        <f t="shared" si="21"/>
        <v>52</v>
      </c>
      <c r="C1359" s="138" t="str">
        <f>TEXT(Таблица8[[#This Row],[Дата]],"М")</f>
        <v>12</v>
      </c>
      <c r="D1359" s="161">
        <v>44919</v>
      </c>
      <c r="E1359" s="143" t="s">
        <v>22</v>
      </c>
      <c r="F1359" s="143" t="s">
        <v>38</v>
      </c>
      <c r="G1359" s="147">
        <v>21</v>
      </c>
      <c r="H1359" s="146" t="s">
        <v>160</v>
      </c>
    </row>
    <row r="1360" spans="2:8" x14ac:dyDescent="0.2">
      <c r="B1360" s="143">
        <f t="shared" si="21"/>
        <v>52</v>
      </c>
      <c r="C1360" s="138" t="str">
        <f>TEXT(Таблица8[[#This Row],[Дата]],"М")</f>
        <v>12</v>
      </c>
      <c r="D1360" s="161">
        <v>44919</v>
      </c>
      <c r="E1360" s="143" t="s">
        <v>72</v>
      </c>
      <c r="F1360" s="143" t="s">
        <v>40</v>
      </c>
      <c r="G1360" s="147">
        <v>1500</v>
      </c>
      <c r="H1360" s="146"/>
    </row>
    <row r="1361" spans="2:10" x14ac:dyDescent="0.2">
      <c r="B1361" s="143">
        <f t="shared" si="21"/>
        <v>52</v>
      </c>
      <c r="C1361" s="138" t="str">
        <f>TEXT(Таблица8[[#This Row],[Дата]],"М")</f>
        <v>12</v>
      </c>
      <c r="D1361" s="161">
        <v>44919</v>
      </c>
      <c r="E1361" s="143" t="s">
        <v>72</v>
      </c>
      <c r="F1361" s="143" t="s">
        <v>44</v>
      </c>
      <c r="G1361" s="147">
        <v>600</v>
      </c>
      <c r="H1361" s="146"/>
    </row>
    <row r="1362" spans="2:10" x14ac:dyDescent="0.2">
      <c r="B1362" s="143">
        <f t="shared" si="21"/>
        <v>52</v>
      </c>
      <c r="C1362" s="138" t="str">
        <f>TEXT(Таблица8[[#This Row],[Дата]],"М")</f>
        <v>12</v>
      </c>
      <c r="D1362" s="161">
        <v>44919</v>
      </c>
      <c r="E1362" s="143" t="s">
        <v>72</v>
      </c>
      <c r="F1362" s="143" t="s">
        <v>38</v>
      </c>
      <c r="G1362" s="147">
        <v>500</v>
      </c>
      <c r="H1362" s="146" t="s">
        <v>145</v>
      </c>
    </row>
    <row r="1363" spans="2:10" x14ac:dyDescent="0.2">
      <c r="B1363" s="143">
        <f t="shared" si="21"/>
        <v>52</v>
      </c>
      <c r="C1363" s="138" t="str">
        <f>TEXT(Таблица8[[#This Row],[Дата]],"М")</f>
        <v>12</v>
      </c>
      <c r="D1363" s="161">
        <v>44919</v>
      </c>
      <c r="E1363" s="143" t="s">
        <v>72</v>
      </c>
      <c r="F1363" s="143" t="s">
        <v>124</v>
      </c>
      <c r="G1363" s="147">
        <v>400</v>
      </c>
      <c r="H1363" s="146"/>
    </row>
    <row r="1364" spans="2:10" x14ac:dyDescent="0.2">
      <c r="B1364" s="143">
        <f t="shared" si="21"/>
        <v>52</v>
      </c>
      <c r="C1364" s="138" t="str">
        <f>TEXT(Таблица8[[#This Row],[Дата]],"М")</f>
        <v>12</v>
      </c>
      <c r="D1364" s="161">
        <v>44919</v>
      </c>
      <c r="E1364" s="143" t="s">
        <v>72</v>
      </c>
      <c r="F1364" s="143" t="s">
        <v>38</v>
      </c>
      <c r="G1364" s="147">
        <v>1515</v>
      </c>
      <c r="H1364" s="146" t="s">
        <v>167</v>
      </c>
    </row>
    <row r="1365" spans="2:10" x14ac:dyDescent="0.2">
      <c r="B1365" s="143">
        <f t="shared" si="21"/>
        <v>52</v>
      </c>
      <c r="C1365" s="138" t="str">
        <f>TEXT(Таблица8[[#This Row],[Дата]],"М")</f>
        <v>12</v>
      </c>
      <c r="D1365" s="161">
        <v>44919</v>
      </c>
      <c r="E1365" s="143" t="s">
        <v>26</v>
      </c>
      <c r="F1365" s="143" t="s">
        <v>168</v>
      </c>
      <c r="G1365" s="147">
        <v>1000</v>
      </c>
      <c r="H1365" s="146" t="s">
        <v>169</v>
      </c>
    </row>
    <row r="1366" spans="2:10" x14ac:dyDescent="0.2">
      <c r="B1366" s="143">
        <f t="shared" si="21"/>
        <v>52</v>
      </c>
      <c r="C1366" s="138" t="str">
        <f>TEXT(Таблица8[[#This Row],[Дата]],"М")</f>
        <v>12</v>
      </c>
      <c r="D1366" s="161">
        <v>44919</v>
      </c>
      <c r="E1366" s="143" t="s">
        <v>19</v>
      </c>
      <c r="F1366" s="143" t="s">
        <v>96</v>
      </c>
      <c r="G1366" s="147">
        <v>775</v>
      </c>
      <c r="H1366" s="146"/>
    </row>
    <row r="1367" spans="2:10" x14ac:dyDescent="0.2">
      <c r="B1367" s="137">
        <f t="shared" si="21"/>
        <v>53</v>
      </c>
      <c r="C1367" s="167" t="str">
        <f>TEXT(Таблица8[[#This Row],[Дата]],"М")</f>
        <v>12</v>
      </c>
      <c r="D1367" s="162">
        <v>44920</v>
      </c>
      <c r="E1367" s="137" t="s">
        <v>71</v>
      </c>
      <c r="F1367" s="137" t="s">
        <v>94</v>
      </c>
      <c r="G1367" s="140">
        <v>22</v>
      </c>
      <c r="H1367" s="141"/>
    </row>
    <row r="1368" spans="2:10" x14ac:dyDescent="0.2">
      <c r="B1368" s="143">
        <f t="shared" si="21"/>
        <v>53</v>
      </c>
      <c r="C1368" s="138" t="str">
        <f>TEXT(Таблица8[[#This Row],[Дата]],"М")</f>
        <v>12</v>
      </c>
      <c r="D1368" s="144">
        <v>44920</v>
      </c>
      <c r="E1368" s="143" t="s">
        <v>20</v>
      </c>
      <c r="F1368" s="143" t="s">
        <v>118</v>
      </c>
      <c r="G1368" s="147">
        <v>145</v>
      </c>
      <c r="H1368" s="146"/>
    </row>
    <row r="1369" spans="2:10" x14ac:dyDescent="0.2">
      <c r="B1369" s="143">
        <f t="shared" si="21"/>
        <v>53</v>
      </c>
      <c r="C1369" s="138" t="str">
        <f>TEXT(Таблица8[[#This Row],[Дата]],"М")</f>
        <v>12</v>
      </c>
      <c r="D1369" s="144">
        <v>44920</v>
      </c>
      <c r="E1369" s="143" t="s">
        <v>20</v>
      </c>
      <c r="F1369" s="143" t="s">
        <v>95</v>
      </c>
      <c r="G1369" s="147">
        <v>55</v>
      </c>
      <c r="H1369" s="146" t="s">
        <v>170</v>
      </c>
    </row>
    <row r="1370" spans="2:10" x14ac:dyDescent="0.2">
      <c r="B1370" s="148">
        <f t="shared" si="21"/>
        <v>53</v>
      </c>
      <c r="C1370" s="168" t="str">
        <f>TEXT(Таблица8[[#This Row],[Дата]],"М")</f>
        <v>12</v>
      </c>
      <c r="D1370" s="161">
        <v>44920</v>
      </c>
      <c r="E1370" s="143" t="s">
        <v>20</v>
      </c>
      <c r="F1370" s="143" t="s">
        <v>95</v>
      </c>
      <c r="G1370" s="149">
        <v>330</v>
      </c>
      <c r="H1370" s="150"/>
    </row>
    <row r="1371" spans="2:10" x14ac:dyDescent="0.2">
      <c r="B1371" s="190">
        <f t="shared" si="21"/>
        <v>53</v>
      </c>
      <c r="C1371" s="191" t="str">
        <f>TEXT(Таблица8[[#This Row],[Дата]],"М")</f>
        <v>12</v>
      </c>
      <c r="D1371" s="192">
        <v>44921</v>
      </c>
      <c r="E1371" s="190" t="s">
        <v>23</v>
      </c>
      <c r="F1371" s="190" t="s">
        <v>103</v>
      </c>
      <c r="G1371" s="193">
        <v>700</v>
      </c>
      <c r="H1371" s="194" t="s">
        <v>144</v>
      </c>
    </row>
    <row r="1372" spans="2:10" x14ac:dyDescent="0.2">
      <c r="B1372" s="143">
        <f t="shared" si="21"/>
        <v>53</v>
      </c>
      <c r="C1372" s="138" t="str">
        <f>TEXT(Таблица8[[#This Row],[Дата]],"М")</f>
        <v>12</v>
      </c>
      <c r="D1372" s="161">
        <v>44921</v>
      </c>
      <c r="E1372" s="143" t="s">
        <v>19</v>
      </c>
      <c r="F1372" s="143" t="s">
        <v>96</v>
      </c>
      <c r="G1372" s="147">
        <v>195</v>
      </c>
      <c r="H1372" s="146"/>
    </row>
    <row r="1373" spans="2:10" x14ac:dyDescent="0.2">
      <c r="B1373" s="143">
        <f t="shared" si="21"/>
        <v>53</v>
      </c>
      <c r="C1373" s="138" t="str">
        <f>TEXT(Таблица8[[#This Row],[Дата]],"М")</f>
        <v>12</v>
      </c>
      <c r="D1373" s="161">
        <v>44921</v>
      </c>
      <c r="E1373" s="143" t="s">
        <v>20</v>
      </c>
      <c r="F1373" s="143" t="s">
        <v>118</v>
      </c>
      <c r="G1373" s="147">
        <v>170</v>
      </c>
      <c r="H1373" s="146"/>
    </row>
    <row r="1374" spans="2:10" x14ac:dyDescent="0.2">
      <c r="B1374" s="143">
        <f t="shared" si="21"/>
        <v>53</v>
      </c>
      <c r="C1374" s="138" t="str">
        <f>TEXT(Таблица8[[#This Row],[Дата]],"М")</f>
        <v>12</v>
      </c>
      <c r="D1374" s="144">
        <v>44921</v>
      </c>
      <c r="E1374" s="143" t="s">
        <v>20</v>
      </c>
      <c r="F1374" s="143" t="s">
        <v>136</v>
      </c>
      <c r="G1374" s="147">
        <f>53+618</f>
        <v>671</v>
      </c>
      <c r="H1374" s="146" t="s">
        <v>319</v>
      </c>
      <c r="I1374" s="142"/>
      <c r="J1374" s="142"/>
    </row>
    <row r="1375" spans="2:10" x14ac:dyDescent="0.2">
      <c r="B1375" s="143">
        <f t="shared" si="21"/>
        <v>53</v>
      </c>
      <c r="C1375" s="138" t="str">
        <f>TEXT(Таблица8[[#This Row],[Дата]],"М")</f>
        <v>12</v>
      </c>
      <c r="D1375" s="144">
        <v>44921</v>
      </c>
      <c r="E1375" s="143" t="s">
        <v>71</v>
      </c>
      <c r="F1375" s="143" t="s">
        <v>94</v>
      </c>
      <c r="G1375" s="147">
        <v>44</v>
      </c>
      <c r="H1375" s="146"/>
    </row>
    <row r="1376" spans="2:10" x14ac:dyDescent="0.2">
      <c r="B1376" s="143">
        <f t="shared" si="21"/>
        <v>53</v>
      </c>
      <c r="C1376" s="138" t="str">
        <f>TEXT(Таблица8[[#This Row],[Дата]],"М")</f>
        <v>12</v>
      </c>
      <c r="D1376" s="144">
        <v>44921</v>
      </c>
      <c r="E1376" s="143" t="s">
        <v>26</v>
      </c>
      <c r="F1376" s="143" t="s">
        <v>120</v>
      </c>
      <c r="G1376" s="147">
        <f>1019+239</f>
        <v>1258</v>
      </c>
      <c r="H1376" s="146" t="s">
        <v>318</v>
      </c>
    </row>
    <row r="1377" spans="2:8" x14ac:dyDescent="0.2">
      <c r="B1377" s="507">
        <f t="shared" si="21"/>
        <v>53</v>
      </c>
      <c r="C1377" s="508" t="str">
        <f>TEXT(Таблица8[[#This Row],[Дата]],"М")</f>
        <v>12</v>
      </c>
      <c r="D1377" s="509">
        <v>44922</v>
      </c>
      <c r="E1377" s="507" t="s">
        <v>71</v>
      </c>
      <c r="F1377" s="507" t="s">
        <v>94</v>
      </c>
      <c r="G1377" s="510">
        <v>44</v>
      </c>
      <c r="H1377" s="511"/>
    </row>
    <row r="1378" spans="2:8" x14ac:dyDescent="0.2">
      <c r="B1378" s="143">
        <f t="shared" si="21"/>
        <v>53</v>
      </c>
      <c r="C1378" s="138" t="str">
        <f>TEXT(Таблица8[[#This Row],[Дата]],"М")</f>
        <v>12</v>
      </c>
      <c r="D1378" s="144">
        <v>44922</v>
      </c>
      <c r="E1378" s="143" t="s">
        <v>20</v>
      </c>
      <c r="F1378" s="143" t="s">
        <v>99</v>
      </c>
      <c r="G1378" s="147">
        <v>261</v>
      </c>
      <c r="H1378" s="146"/>
    </row>
    <row r="1379" spans="2:8" x14ac:dyDescent="0.2">
      <c r="B1379" s="148">
        <f t="shared" si="21"/>
        <v>53</v>
      </c>
      <c r="C1379" s="168" t="str">
        <f>TEXT(Таблица8[[#This Row],[Дата]],"М")</f>
        <v>12</v>
      </c>
      <c r="D1379" s="161">
        <v>44922</v>
      </c>
      <c r="E1379" s="148" t="s">
        <v>19</v>
      </c>
      <c r="F1379" s="148" t="s">
        <v>96</v>
      </c>
      <c r="G1379" s="149">
        <v>40</v>
      </c>
      <c r="H1379" s="150" t="s">
        <v>151</v>
      </c>
    </row>
    <row r="1380" spans="2:8" ht="14.25" customHeight="1" x14ac:dyDescent="0.2">
      <c r="B1380" s="507">
        <f>WEEKNUM(D1380)</f>
        <v>53</v>
      </c>
      <c r="C1380" s="508" t="str">
        <f>TEXT(Таблица8[[#This Row],[Дата]],"М")</f>
        <v>12</v>
      </c>
      <c r="D1380" s="547">
        <v>44923</v>
      </c>
      <c r="E1380" s="548" t="s">
        <v>71</v>
      </c>
      <c r="F1380" s="548" t="s">
        <v>94</v>
      </c>
      <c r="G1380" s="549">
        <f>22+32</f>
        <v>54</v>
      </c>
      <c r="H1380" s="550"/>
    </row>
    <row r="1381" spans="2:8" x14ac:dyDescent="0.2">
      <c r="B1381" s="143">
        <f t="shared" si="21"/>
        <v>53</v>
      </c>
      <c r="C1381" s="138" t="str">
        <f>TEXT(Таблица8[[#This Row],[Дата]],"М")</f>
        <v>12</v>
      </c>
      <c r="D1381" s="144">
        <v>44923</v>
      </c>
      <c r="E1381" s="143" t="s">
        <v>20</v>
      </c>
      <c r="F1381" s="143" t="s">
        <v>99</v>
      </c>
      <c r="G1381" s="147">
        <v>378</v>
      </c>
      <c r="H1381" s="146"/>
    </row>
    <row r="1382" spans="2:8" x14ac:dyDescent="0.2">
      <c r="B1382" s="548">
        <f t="shared" si="21"/>
        <v>53</v>
      </c>
      <c r="C1382" s="553" t="str">
        <f>TEXT(Таблица8[[#This Row],[Дата]],"М")</f>
        <v>12</v>
      </c>
      <c r="D1382" s="509">
        <v>44924</v>
      </c>
      <c r="E1382" s="548" t="s">
        <v>71</v>
      </c>
      <c r="F1382" s="548" t="s">
        <v>94</v>
      </c>
      <c r="G1382" s="549">
        <f>32+22</f>
        <v>54</v>
      </c>
      <c r="H1382" s="550"/>
    </row>
    <row r="1383" spans="2:8" x14ac:dyDescent="0.2">
      <c r="B1383" s="143">
        <f t="shared" si="21"/>
        <v>53</v>
      </c>
      <c r="C1383" s="138" t="str">
        <f>TEXT(Таблица8[[#This Row],[Дата]],"М")</f>
        <v>12</v>
      </c>
      <c r="D1383" s="144">
        <v>44924</v>
      </c>
      <c r="E1383" s="143" t="s">
        <v>19</v>
      </c>
      <c r="F1383" s="143" t="s">
        <v>96</v>
      </c>
      <c r="G1383" s="147">
        <f>1674-400</f>
        <v>1274</v>
      </c>
      <c r="H1383" s="146"/>
    </row>
    <row r="1384" spans="2:8" x14ac:dyDescent="0.2">
      <c r="B1384" s="148">
        <f t="shared" si="21"/>
        <v>53</v>
      </c>
      <c r="C1384" s="168" t="str">
        <f>TEXT(Таблица8[[#This Row],[Дата]],"М")</f>
        <v>12</v>
      </c>
      <c r="D1384" s="161">
        <v>44924</v>
      </c>
      <c r="E1384" s="148" t="s">
        <v>30</v>
      </c>
      <c r="F1384" s="148" t="s">
        <v>92</v>
      </c>
      <c r="G1384" s="149">
        <v>400</v>
      </c>
      <c r="H1384" s="150" t="s">
        <v>341</v>
      </c>
    </row>
    <row r="1385" spans="2:8" x14ac:dyDescent="0.2">
      <c r="B1385" s="148">
        <f t="shared" si="21"/>
        <v>53</v>
      </c>
      <c r="C1385" s="168" t="str">
        <f>TEXT(Таблица8[[#This Row],[Дата]],"М")</f>
        <v>12</v>
      </c>
      <c r="D1385" s="161">
        <v>44924</v>
      </c>
      <c r="E1385" s="143" t="s">
        <v>71</v>
      </c>
      <c r="F1385" s="143" t="s">
        <v>115</v>
      </c>
      <c r="G1385" s="147">
        <v>276</v>
      </c>
      <c r="H1385" s="146"/>
    </row>
    <row r="1386" spans="2:8" x14ac:dyDescent="0.2">
      <c r="B1386" s="507">
        <f t="shared" si="21"/>
        <v>53</v>
      </c>
      <c r="C1386" s="508" t="str">
        <f>TEXT(Таблица8[[#This Row],[Дата]],"М")</f>
        <v>12</v>
      </c>
      <c r="D1386" s="547">
        <v>44925</v>
      </c>
      <c r="E1386" s="548" t="s">
        <v>30</v>
      </c>
      <c r="F1386" s="548" t="s">
        <v>100</v>
      </c>
      <c r="G1386" s="549">
        <v>250</v>
      </c>
      <c r="H1386" s="550" t="s">
        <v>343</v>
      </c>
    </row>
    <row r="1387" spans="2:8" ht="15.75" customHeight="1" x14ac:dyDescent="0.2">
      <c r="B1387" s="148">
        <f t="shared" si="21"/>
        <v>53</v>
      </c>
      <c r="C1387" s="168" t="str">
        <f>TEXT(Таблица8[[#This Row],[Дата]],"М")</f>
        <v>12</v>
      </c>
      <c r="D1387" s="161">
        <v>44925</v>
      </c>
      <c r="E1387" s="148" t="s">
        <v>26</v>
      </c>
      <c r="F1387" s="148" t="s">
        <v>120</v>
      </c>
      <c r="G1387" s="149">
        <v>135</v>
      </c>
      <c r="H1387" s="150" t="s">
        <v>344</v>
      </c>
    </row>
    <row r="1388" spans="2:8" x14ac:dyDescent="0.2">
      <c r="B1388" s="143">
        <f t="shared" si="21"/>
        <v>53</v>
      </c>
      <c r="C1388" s="138" t="str">
        <f>TEXT(Таблица8[[#This Row],[Дата]],"М")</f>
        <v>12</v>
      </c>
      <c r="D1388" s="161">
        <v>44925</v>
      </c>
      <c r="E1388" s="143" t="s">
        <v>71</v>
      </c>
      <c r="F1388" s="143" t="s">
        <v>91</v>
      </c>
      <c r="G1388" s="147">
        <f>137+50</f>
        <v>187</v>
      </c>
      <c r="H1388" s="146"/>
    </row>
    <row r="1389" spans="2:8" x14ac:dyDescent="0.2">
      <c r="B1389" s="143">
        <f t="shared" si="21"/>
        <v>53</v>
      </c>
      <c r="C1389" s="138" t="str">
        <f>TEXT(Таблица8[[#This Row],[Дата]],"М")</f>
        <v>12</v>
      </c>
      <c r="D1389" s="161">
        <v>44925</v>
      </c>
      <c r="E1389" s="143" t="s">
        <v>19</v>
      </c>
      <c r="F1389" s="143" t="s">
        <v>96</v>
      </c>
      <c r="G1389" s="147">
        <v>493</v>
      </c>
      <c r="H1389" s="146"/>
    </row>
    <row r="1390" spans="2:8" x14ac:dyDescent="0.2">
      <c r="B1390" s="143">
        <f t="shared" si="21"/>
        <v>53</v>
      </c>
      <c r="C1390" s="138" t="str">
        <f>TEXT(Таблица8[[#This Row],[Дата]],"М")</f>
        <v>12</v>
      </c>
      <c r="D1390" s="161">
        <v>44925</v>
      </c>
      <c r="E1390" s="143" t="s">
        <v>22</v>
      </c>
      <c r="F1390" s="143" t="s">
        <v>38</v>
      </c>
      <c r="G1390" s="147">
        <v>50</v>
      </c>
      <c r="H1390" s="146" t="s">
        <v>345</v>
      </c>
    </row>
    <row r="1391" spans="2:8" x14ac:dyDescent="0.2">
      <c r="B1391" s="143">
        <f t="shared" si="21"/>
        <v>53</v>
      </c>
      <c r="C1391" s="138" t="str">
        <f>TEXT(Таблица8[[#This Row],[Дата]],"М")</f>
        <v>12</v>
      </c>
      <c r="D1391" s="161">
        <v>44925</v>
      </c>
      <c r="E1391" s="143" t="s">
        <v>22</v>
      </c>
      <c r="F1391" s="143" t="s">
        <v>38</v>
      </c>
      <c r="G1391" s="147">
        <v>240</v>
      </c>
      <c r="H1391" s="146" t="s">
        <v>346</v>
      </c>
    </row>
    <row r="1392" spans="2:8" x14ac:dyDescent="0.2">
      <c r="B1392" s="143">
        <f t="shared" si="21"/>
        <v>53</v>
      </c>
      <c r="C1392" s="138" t="str">
        <f>TEXT(Таблица8[[#This Row],[Дата]],"М")</f>
        <v>12</v>
      </c>
      <c r="D1392" s="161">
        <v>44925</v>
      </c>
      <c r="E1392" s="143" t="s">
        <v>22</v>
      </c>
      <c r="F1392" s="143" t="s">
        <v>38</v>
      </c>
      <c r="G1392" s="147">
        <v>360</v>
      </c>
      <c r="H1392" s="146" t="s">
        <v>347</v>
      </c>
    </row>
    <row r="1393" spans="2:8" x14ac:dyDescent="0.2">
      <c r="B1393" s="143">
        <f t="shared" si="21"/>
        <v>53</v>
      </c>
      <c r="C1393" s="138" t="str">
        <f>TEXT(Таблица8[[#This Row],[Дата]],"М")</f>
        <v>12</v>
      </c>
      <c r="D1393" s="161">
        <v>44925</v>
      </c>
      <c r="E1393" s="148" t="s">
        <v>26</v>
      </c>
      <c r="F1393" s="148" t="s">
        <v>305</v>
      </c>
      <c r="G1393" s="147">
        <v>169</v>
      </c>
      <c r="H1393" s="146" t="s">
        <v>348</v>
      </c>
    </row>
    <row r="1394" spans="2:8" x14ac:dyDescent="0.2">
      <c r="B1394" s="143">
        <f t="shared" si="21"/>
        <v>53</v>
      </c>
      <c r="C1394" s="138" t="str">
        <f>TEXT(Таблица8[[#This Row],[Дата]],"М")</f>
        <v>12</v>
      </c>
      <c r="D1394" s="161">
        <v>44925</v>
      </c>
      <c r="E1394" s="143" t="s">
        <v>26</v>
      </c>
      <c r="F1394" s="143" t="s">
        <v>168</v>
      </c>
      <c r="G1394" s="147">
        <v>500</v>
      </c>
      <c r="H1394" s="146" t="s">
        <v>169</v>
      </c>
    </row>
    <row r="1395" spans="2:8" x14ac:dyDescent="0.2">
      <c r="B1395" s="143">
        <f t="shared" si="21"/>
        <v>53</v>
      </c>
      <c r="C1395" s="138" t="str">
        <f>TEXT(Таблица8[[#This Row],[Дата]],"М")</f>
        <v>12</v>
      </c>
      <c r="D1395" s="161">
        <v>44925</v>
      </c>
      <c r="E1395" s="143" t="s">
        <v>71</v>
      </c>
      <c r="F1395" s="143" t="s">
        <v>91</v>
      </c>
      <c r="G1395" s="147">
        <v>437</v>
      </c>
      <c r="H1395" s="146" t="s">
        <v>349</v>
      </c>
    </row>
    <row r="1396" spans="2:8" x14ac:dyDescent="0.2">
      <c r="B1396" s="143">
        <f t="shared" si="21"/>
        <v>53</v>
      </c>
      <c r="C1396" s="138" t="str">
        <f>TEXT(Таблица8[[#This Row],[Дата]],"М")</f>
        <v>12</v>
      </c>
      <c r="D1396" s="161">
        <v>44925</v>
      </c>
      <c r="E1396" s="143" t="s">
        <v>72</v>
      </c>
      <c r="F1396" s="143" t="s">
        <v>124</v>
      </c>
      <c r="G1396" s="147">
        <v>100</v>
      </c>
      <c r="H1396" s="146"/>
    </row>
    <row r="1397" spans="2:8" x14ac:dyDescent="0.2">
      <c r="B1397" s="143">
        <f t="shared" si="21"/>
        <v>53</v>
      </c>
      <c r="C1397" s="138" t="str">
        <f>TEXT(Таблица8[[#This Row],[Дата]],"М")</f>
        <v>12</v>
      </c>
      <c r="D1397" s="161">
        <v>44925</v>
      </c>
      <c r="E1397" s="143" t="s">
        <v>72</v>
      </c>
      <c r="F1397" s="143" t="s">
        <v>44</v>
      </c>
      <c r="G1397" s="147">
        <v>200</v>
      </c>
      <c r="H1397" s="146"/>
    </row>
    <row r="1398" spans="2:8" x14ac:dyDescent="0.2">
      <c r="B1398" s="143">
        <f t="shared" si="21"/>
        <v>53</v>
      </c>
      <c r="C1398" s="138" t="str">
        <f>TEXT(Таблица8[[#This Row],[Дата]],"М")</f>
        <v>12</v>
      </c>
      <c r="D1398" s="161">
        <v>44925</v>
      </c>
      <c r="E1398" s="143" t="s">
        <v>72</v>
      </c>
      <c r="F1398" s="143" t="s">
        <v>40</v>
      </c>
      <c r="G1398" s="147">
        <v>1000</v>
      </c>
      <c r="H1398" s="146"/>
    </row>
    <row r="1399" spans="2:8" x14ac:dyDescent="0.2">
      <c r="B1399" s="143">
        <f t="shared" ref="B1399:B1463" si="22">WEEKNUM(D1399)</f>
        <v>53</v>
      </c>
      <c r="C1399" s="138" t="str">
        <f>TEXT(Таблица8[[#This Row],[Дата]],"М")</f>
        <v>12</v>
      </c>
      <c r="D1399" s="161">
        <v>44925</v>
      </c>
      <c r="E1399" s="143" t="s">
        <v>72</v>
      </c>
      <c r="F1399" s="143" t="s">
        <v>38</v>
      </c>
      <c r="G1399" s="147">
        <v>200</v>
      </c>
      <c r="H1399" s="146" t="s">
        <v>145</v>
      </c>
    </row>
    <row r="1400" spans="2:8" ht="14.25" customHeight="1" x14ac:dyDescent="0.2">
      <c r="B1400" s="143">
        <f t="shared" si="22"/>
        <v>53</v>
      </c>
      <c r="C1400" s="138" t="str">
        <f>TEXT(Таблица8[[#This Row],[Дата]],"М")</f>
        <v>12</v>
      </c>
      <c r="D1400" s="161">
        <v>44925</v>
      </c>
      <c r="E1400" s="143" t="s">
        <v>29</v>
      </c>
      <c r="F1400" s="143" t="s">
        <v>105</v>
      </c>
      <c r="G1400" s="147">
        <v>250</v>
      </c>
      <c r="H1400" s="146"/>
    </row>
    <row r="1401" spans="2:8" ht="12" customHeight="1" x14ac:dyDescent="0.2">
      <c r="B1401" s="548">
        <f t="shared" si="22"/>
        <v>53</v>
      </c>
      <c r="C1401" s="553" t="str">
        <f>TEXT(Таблица8[[#This Row],[Дата]],"М")</f>
        <v>12</v>
      </c>
      <c r="D1401" s="509">
        <v>44926</v>
      </c>
      <c r="E1401" s="548" t="s">
        <v>23</v>
      </c>
      <c r="F1401" s="548" t="s">
        <v>103</v>
      </c>
      <c r="G1401" s="549">
        <v>180</v>
      </c>
      <c r="H1401" s="550"/>
    </row>
    <row r="1402" spans="2:8" x14ac:dyDescent="0.2">
      <c r="B1402" s="143">
        <f t="shared" si="22"/>
        <v>53</v>
      </c>
      <c r="C1402" s="138" t="str">
        <f>TEXT(Таблица8[[#This Row],[Дата]],"М")</f>
        <v>12</v>
      </c>
      <c r="D1402" s="144">
        <v>44926</v>
      </c>
      <c r="E1402" s="143" t="s">
        <v>30</v>
      </c>
      <c r="F1402" s="143" t="s">
        <v>92</v>
      </c>
      <c r="G1402" s="147">
        <v>244</v>
      </c>
      <c r="H1402" s="146"/>
    </row>
    <row r="1403" spans="2:8" x14ac:dyDescent="0.2">
      <c r="B1403" s="143">
        <f t="shared" si="22"/>
        <v>53</v>
      </c>
      <c r="C1403" s="138" t="str">
        <f>TEXT(Таблица8[[#This Row],[Дата]],"М")</f>
        <v>12</v>
      </c>
      <c r="D1403" s="144">
        <v>44926</v>
      </c>
      <c r="E1403" s="143" t="s">
        <v>19</v>
      </c>
      <c r="F1403" s="143" t="s">
        <v>116</v>
      </c>
      <c r="G1403" s="147">
        <f>139+553</f>
        <v>692</v>
      </c>
      <c r="H1403" s="146"/>
    </row>
    <row r="1404" spans="2:8" x14ac:dyDescent="0.2">
      <c r="B1404" s="143">
        <f t="shared" si="22"/>
        <v>53</v>
      </c>
      <c r="C1404" s="138" t="str">
        <f>TEXT(Таблица8[[#This Row],[Дата]],"М")</f>
        <v>12</v>
      </c>
      <c r="D1404" s="144">
        <v>44926</v>
      </c>
      <c r="E1404" s="143" t="s">
        <v>20</v>
      </c>
      <c r="F1404" s="143" t="s">
        <v>97</v>
      </c>
      <c r="G1404" s="147">
        <v>3160</v>
      </c>
      <c r="H1404" s="146" t="s">
        <v>350</v>
      </c>
    </row>
    <row r="1405" spans="2:8" x14ac:dyDescent="0.2">
      <c r="B1405" s="143">
        <f t="shared" si="22"/>
        <v>53</v>
      </c>
      <c r="C1405" s="138" t="str">
        <f>TEXT(Таблица8[[#This Row],[Дата]],"М")</f>
        <v>12</v>
      </c>
      <c r="D1405" s="144">
        <v>44926</v>
      </c>
      <c r="E1405" s="143" t="s">
        <v>71</v>
      </c>
      <c r="F1405" s="143" t="s">
        <v>91</v>
      </c>
      <c r="G1405" s="147">
        <f>385+199+311</f>
        <v>895</v>
      </c>
      <c r="H1405" s="146"/>
    </row>
    <row r="1406" spans="2:8" x14ac:dyDescent="0.2">
      <c r="B1406" s="548">
        <f t="shared" si="22"/>
        <v>1</v>
      </c>
      <c r="C1406" s="553" t="str">
        <f>TEXT(Таблица8[[#This Row],[Дата]],"М")</f>
        <v>1</v>
      </c>
      <c r="D1406" s="509">
        <v>44927</v>
      </c>
      <c r="E1406" s="548" t="s">
        <v>71</v>
      </c>
      <c r="F1406" s="548" t="s">
        <v>91</v>
      </c>
      <c r="G1406" s="549">
        <f>806-500</f>
        <v>306</v>
      </c>
      <c r="H1406" s="550"/>
    </row>
    <row r="1407" spans="2:8" x14ac:dyDescent="0.2">
      <c r="B1407" s="148">
        <f t="shared" si="22"/>
        <v>1</v>
      </c>
      <c r="C1407" s="168" t="str">
        <f>TEXT(Таблица8[[#This Row],[Дата]],"М")</f>
        <v>1</v>
      </c>
      <c r="D1407" s="144">
        <v>44927</v>
      </c>
      <c r="E1407" s="148" t="s">
        <v>20</v>
      </c>
      <c r="F1407" s="148" t="s">
        <v>136</v>
      </c>
      <c r="G1407" s="149">
        <v>770</v>
      </c>
      <c r="H1407" s="150" t="s">
        <v>354</v>
      </c>
    </row>
    <row r="1408" spans="2:8" x14ac:dyDescent="0.2">
      <c r="B1408" s="148">
        <f t="shared" si="22"/>
        <v>1</v>
      </c>
      <c r="C1408" s="168" t="str">
        <f>TEXT(Таблица8[[#This Row],[Дата]],"М")</f>
        <v>1</v>
      </c>
      <c r="D1408" s="161">
        <v>44927</v>
      </c>
      <c r="E1408" s="148" t="s">
        <v>22</v>
      </c>
      <c r="F1408" s="148" t="s">
        <v>38</v>
      </c>
      <c r="G1408" s="149">
        <v>492</v>
      </c>
      <c r="H1408" s="150"/>
    </row>
    <row r="1409" spans="2:8" x14ac:dyDescent="0.2">
      <c r="B1409" s="507">
        <f t="shared" ref="B1409" si="23">WEEKNUM(D1409)</f>
        <v>1</v>
      </c>
      <c r="C1409" s="508" t="str">
        <f>TEXT(Таблица8[[#This Row],[Дата]],"М")</f>
        <v>1</v>
      </c>
      <c r="D1409" s="547">
        <v>44928</v>
      </c>
      <c r="E1409" s="548" t="s">
        <v>20</v>
      </c>
      <c r="F1409" s="548" t="s">
        <v>118</v>
      </c>
      <c r="G1409" s="549">
        <v>220</v>
      </c>
      <c r="H1409" s="550"/>
    </row>
    <row r="1410" spans="2:8" x14ac:dyDescent="0.2">
      <c r="B1410" s="548">
        <f t="shared" si="22"/>
        <v>1</v>
      </c>
      <c r="C1410" s="553" t="str">
        <f>TEXT(Таблица8[[#This Row],[Дата]],"М")</f>
        <v>1</v>
      </c>
      <c r="D1410" s="509">
        <v>44929</v>
      </c>
      <c r="E1410" s="548" t="s">
        <v>71</v>
      </c>
      <c r="F1410" s="548" t="s">
        <v>94</v>
      </c>
      <c r="G1410" s="549">
        <v>32</v>
      </c>
      <c r="H1410" s="550"/>
    </row>
    <row r="1411" spans="2:8" x14ac:dyDescent="0.2">
      <c r="B1411" s="148">
        <f t="shared" si="22"/>
        <v>1</v>
      </c>
      <c r="C1411" s="168" t="str">
        <f>TEXT(Таблица8[[#This Row],[Дата]],"М")</f>
        <v>1</v>
      </c>
      <c r="D1411" s="144">
        <v>44929</v>
      </c>
      <c r="E1411" s="148" t="s">
        <v>23</v>
      </c>
      <c r="F1411" s="148" t="s">
        <v>137</v>
      </c>
      <c r="G1411" s="149">
        <v>750</v>
      </c>
      <c r="H1411" s="150" t="s">
        <v>356</v>
      </c>
    </row>
    <row r="1412" spans="2:8" x14ac:dyDescent="0.2">
      <c r="B1412" s="143">
        <f t="shared" si="22"/>
        <v>1</v>
      </c>
      <c r="C1412" s="138" t="str">
        <f>TEXT(Таблица8[[#This Row],[Дата]],"М")</f>
        <v>1</v>
      </c>
      <c r="D1412" s="144">
        <v>44929</v>
      </c>
      <c r="E1412" s="148" t="s">
        <v>23</v>
      </c>
      <c r="F1412" s="143" t="s">
        <v>103</v>
      </c>
      <c r="G1412" s="147">
        <v>250</v>
      </c>
      <c r="H1412" s="146" t="s">
        <v>357</v>
      </c>
    </row>
    <row r="1413" spans="2:8" x14ac:dyDescent="0.2">
      <c r="B1413" s="148">
        <f t="shared" si="22"/>
        <v>1</v>
      </c>
      <c r="C1413" s="168" t="str">
        <f>TEXT(Таблица8[[#This Row],[Дата]],"М")</f>
        <v>1</v>
      </c>
      <c r="D1413" s="144">
        <v>44929</v>
      </c>
      <c r="E1413" s="148" t="s">
        <v>20</v>
      </c>
      <c r="F1413" s="148" t="s">
        <v>95</v>
      </c>
      <c r="G1413" s="149">
        <v>37</v>
      </c>
      <c r="H1413" s="150" t="s">
        <v>358</v>
      </c>
    </row>
    <row r="1414" spans="2:8" x14ac:dyDescent="0.2">
      <c r="B1414" s="548">
        <f t="shared" si="22"/>
        <v>1</v>
      </c>
      <c r="C1414" s="553" t="str">
        <f>TEXT(Таблица8[[#This Row],[Дата]],"М")</f>
        <v>1</v>
      </c>
      <c r="D1414" s="509">
        <v>44930</v>
      </c>
      <c r="E1414" s="548" t="s">
        <v>20</v>
      </c>
      <c r="F1414" s="548" t="s">
        <v>118</v>
      </c>
      <c r="G1414" s="549">
        <v>140</v>
      </c>
      <c r="H1414" s="550"/>
    </row>
    <row r="1415" spans="2:8" x14ac:dyDescent="0.2">
      <c r="B1415" s="143">
        <f t="shared" si="22"/>
        <v>1</v>
      </c>
      <c r="C1415" s="138" t="str">
        <f>TEXT(Таблица8[[#This Row],[Дата]],"М")</f>
        <v>1</v>
      </c>
      <c r="D1415" s="144">
        <v>44930</v>
      </c>
      <c r="E1415" s="143" t="s">
        <v>71</v>
      </c>
      <c r="F1415" s="143" t="s">
        <v>91</v>
      </c>
      <c r="G1415" s="147">
        <v>124</v>
      </c>
      <c r="H1415" s="146"/>
    </row>
    <row r="1416" spans="2:8" x14ac:dyDescent="0.2">
      <c r="B1416" s="148">
        <f t="shared" si="22"/>
        <v>1</v>
      </c>
      <c r="C1416" s="168" t="str">
        <f>TEXT(Таблица8[[#This Row],[Дата]],"М")</f>
        <v>1</v>
      </c>
      <c r="D1416" s="144">
        <v>44930</v>
      </c>
      <c r="E1416" s="148" t="s">
        <v>22</v>
      </c>
      <c r="F1416" s="148" t="s">
        <v>38</v>
      </c>
      <c r="G1416" s="149">
        <v>48</v>
      </c>
      <c r="H1416" s="150" t="s">
        <v>366</v>
      </c>
    </row>
    <row r="1417" spans="2:8" x14ac:dyDescent="0.2">
      <c r="B1417" s="148">
        <f t="shared" si="22"/>
        <v>1</v>
      </c>
      <c r="C1417" s="168" t="str">
        <f>TEXT(Таблица8[[#This Row],[Дата]],"М")</f>
        <v>1</v>
      </c>
      <c r="D1417" s="144">
        <v>44930</v>
      </c>
      <c r="E1417" s="148" t="s">
        <v>19</v>
      </c>
      <c r="F1417" s="148" t="s">
        <v>96</v>
      </c>
      <c r="G1417" s="149">
        <f>745-250</f>
        <v>495</v>
      </c>
      <c r="H1417" s="150"/>
    </row>
    <row r="1418" spans="2:8" x14ac:dyDescent="0.2">
      <c r="B1418" s="148">
        <f t="shared" si="22"/>
        <v>1</v>
      </c>
      <c r="C1418" s="168" t="str">
        <f>TEXT(Таблица8[[#This Row],[Дата]],"М")</f>
        <v>1</v>
      </c>
      <c r="D1418" s="161">
        <v>44930</v>
      </c>
      <c r="E1418" s="148" t="s">
        <v>26</v>
      </c>
      <c r="F1418" s="148" t="s">
        <v>120</v>
      </c>
      <c r="G1418" s="149">
        <v>250</v>
      </c>
      <c r="H1418" s="150"/>
    </row>
    <row r="1419" spans="2:8" x14ac:dyDescent="0.2">
      <c r="B1419" s="507">
        <f t="shared" si="22"/>
        <v>1</v>
      </c>
      <c r="C1419" s="508" t="str">
        <f>TEXT(Таблица8[[#This Row],[Дата]],"М")</f>
        <v>1</v>
      </c>
      <c r="D1419" s="547">
        <v>44931</v>
      </c>
      <c r="E1419" s="507" t="s">
        <v>71</v>
      </c>
      <c r="F1419" s="507" t="s">
        <v>91</v>
      </c>
      <c r="G1419" s="510">
        <v>301</v>
      </c>
      <c r="H1419" s="511"/>
    </row>
    <row r="1420" spans="2:8" ht="15.75" customHeight="1" x14ac:dyDescent="0.2">
      <c r="B1420" s="143">
        <f t="shared" si="22"/>
        <v>1</v>
      </c>
      <c r="C1420" s="138" t="str">
        <f>TEXT(Таблица8[[#This Row],[Дата]],"М")</f>
        <v>1</v>
      </c>
      <c r="D1420" s="144">
        <v>44931</v>
      </c>
      <c r="E1420" s="143" t="s">
        <v>23</v>
      </c>
      <c r="F1420" s="143" t="s">
        <v>103</v>
      </c>
      <c r="G1420" s="147">
        <v>396</v>
      </c>
      <c r="H1420" s="146" t="s">
        <v>367</v>
      </c>
    </row>
    <row r="1421" spans="2:8" ht="15.75" customHeight="1" x14ac:dyDescent="0.2">
      <c r="B1421" s="507">
        <f t="shared" si="22"/>
        <v>1</v>
      </c>
      <c r="C1421" s="508" t="str">
        <f>TEXT(Таблица8[[#This Row],[Дата]],"М")</f>
        <v>1</v>
      </c>
      <c r="D1421" s="509">
        <v>44932</v>
      </c>
      <c r="E1421" s="507" t="s">
        <v>71</v>
      </c>
      <c r="F1421" s="507" t="s">
        <v>91</v>
      </c>
      <c r="G1421" s="510">
        <v>243</v>
      </c>
      <c r="H1421" s="511"/>
    </row>
    <row r="1422" spans="2:8" x14ac:dyDescent="0.2">
      <c r="B1422" s="143">
        <f t="shared" si="22"/>
        <v>1</v>
      </c>
      <c r="C1422" s="138" t="str">
        <f>TEXT(Таблица8[[#This Row],[Дата]],"М")</f>
        <v>1</v>
      </c>
      <c r="D1422" s="144">
        <v>44932</v>
      </c>
      <c r="E1422" s="143" t="s">
        <v>20</v>
      </c>
      <c r="F1422" s="143" t="s">
        <v>102</v>
      </c>
      <c r="G1422" s="147">
        <v>245</v>
      </c>
      <c r="H1422" s="146"/>
    </row>
    <row r="1423" spans="2:8" x14ac:dyDescent="0.2">
      <c r="B1423" s="143">
        <f t="shared" si="22"/>
        <v>1</v>
      </c>
      <c r="C1423" s="138" t="str">
        <f>TEXT(Таблица8[[#This Row],[Дата]],"М")</f>
        <v>1</v>
      </c>
      <c r="D1423" s="144">
        <v>44932</v>
      </c>
      <c r="E1423" s="143" t="s">
        <v>30</v>
      </c>
      <c r="F1423" s="143" t="s">
        <v>92</v>
      </c>
      <c r="G1423" s="147">
        <f>2417+508+400-1000</f>
        <v>2325</v>
      </c>
      <c r="H1423" s="146"/>
    </row>
    <row r="1424" spans="2:8" x14ac:dyDescent="0.2">
      <c r="B1424" s="143">
        <f t="shared" si="22"/>
        <v>1</v>
      </c>
      <c r="C1424" s="138" t="str">
        <f>TEXT(Таблица8[[#This Row],[Дата]],"М")</f>
        <v>1</v>
      </c>
      <c r="D1424" s="144">
        <v>44932</v>
      </c>
      <c r="E1424" s="143" t="s">
        <v>22</v>
      </c>
      <c r="F1424" s="143" t="s">
        <v>38</v>
      </c>
      <c r="G1424" s="147">
        <v>757</v>
      </c>
      <c r="H1424" s="146" t="s">
        <v>368</v>
      </c>
    </row>
    <row r="1425" spans="2:18" ht="14.25" x14ac:dyDescent="0.2">
      <c r="B1425" s="507">
        <f t="shared" si="22"/>
        <v>2</v>
      </c>
      <c r="C1425" s="508" t="str">
        <f>TEXT(Таблица8[[#This Row],[Дата]],"М")</f>
        <v>1</v>
      </c>
      <c r="D1425" s="509">
        <v>44934</v>
      </c>
      <c r="E1425" s="507" t="s">
        <v>19</v>
      </c>
      <c r="F1425" s="507" t="s">
        <v>96</v>
      </c>
      <c r="G1425" s="510">
        <f>703</f>
        <v>703</v>
      </c>
      <c r="H1425" s="511"/>
      <c r="I1425" s="142"/>
      <c r="J1425" s="142"/>
      <c r="L1425" s="586">
        <v>44197</v>
      </c>
      <c r="M1425" s="587"/>
      <c r="N1425" s="590">
        <v>2023</v>
      </c>
      <c r="O1425" s="591"/>
      <c r="P1425" s="591"/>
      <c r="Q1425" s="591"/>
      <c r="R1425" s="592"/>
    </row>
    <row r="1426" spans="2:18" ht="14.25" customHeight="1" x14ac:dyDescent="0.2">
      <c r="B1426" s="507">
        <f t="shared" si="22"/>
        <v>2</v>
      </c>
      <c r="C1426" s="508" t="str">
        <f>TEXT(Таблица8[[#This Row],[Дата]],"М")</f>
        <v>1</v>
      </c>
      <c r="D1426" s="509">
        <v>44935</v>
      </c>
      <c r="E1426" s="507" t="s">
        <v>71</v>
      </c>
      <c r="F1426" s="507" t="s">
        <v>94</v>
      </c>
      <c r="G1426" s="510">
        <v>32</v>
      </c>
      <c r="H1426" s="511"/>
      <c r="I1426" s="142"/>
      <c r="J1426" s="142"/>
      <c r="L1426" s="588"/>
      <c r="M1426" s="589"/>
      <c r="N1426" s="593"/>
      <c r="O1426" s="594"/>
      <c r="P1426" s="594"/>
      <c r="Q1426" s="594"/>
      <c r="R1426" s="595"/>
    </row>
    <row r="1427" spans="2:18" ht="15.75" customHeight="1" x14ac:dyDescent="0.2">
      <c r="B1427" s="143">
        <f t="shared" si="22"/>
        <v>2</v>
      </c>
      <c r="C1427" s="138" t="str">
        <f>TEXT(Таблица8[[#This Row],[Дата]],"М")</f>
        <v>1</v>
      </c>
      <c r="D1427" s="144">
        <v>44935</v>
      </c>
      <c r="E1427" s="143" t="s">
        <v>71</v>
      </c>
      <c r="F1427" s="143" t="s">
        <v>91</v>
      </c>
      <c r="G1427" s="147">
        <v>203</v>
      </c>
      <c r="H1427" s="146"/>
      <c r="I1427" s="142"/>
      <c r="J1427" s="142"/>
      <c r="L1427" s="170" t="s">
        <v>87</v>
      </c>
      <c r="M1427" s="171"/>
      <c r="N1427" s="596" t="s">
        <v>161</v>
      </c>
      <c r="O1427" s="597"/>
      <c r="P1427" s="598"/>
      <c r="Q1427" s="599"/>
      <c r="R1427" s="599"/>
    </row>
    <row r="1428" spans="2:18" ht="14.25" x14ac:dyDescent="0.2">
      <c r="B1428" s="148">
        <f t="shared" si="22"/>
        <v>2</v>
      </c>
      <c r="C1428" s="168" t="str">
        <f>TEXT(Таблица8[[#This Row],[Дата]],"М")</f>
        <v>1</v>
      </c>
      <c r="D1428" s="161">
        <v>44935</v>
      </c>
      <c r="E1428" s="148" t="s">
        <v>20</v>
      </c>
      <c r="F1428" s="148" t="s">
        <v>99</v>
      </c>
      <c r="G1428" s="149">
        <v>239</v>
      </c>
      <c r="H1428" s="150"/>
      <c r="I1428" s="142"/>
      <c r="J1428" s="142"/>
      <c r="L1428" s="173"/>
      <c r="M1428" s="174"/>
      <c r="N1428" s="175" t="s">
        <v>162</v>
      </c>
      <c r="O1428" s="176" t="s">
        <v>163</v>
      </c>
      <c r="P1428" s="177" t="s">
        <v>164</v>
      </c>
      <c r="Q1428" s="178" t="s">
        <v>165</v>
      </c>
      <c r="R1428" s="179" t="s">
        <v>166</v>
      </c>
    </row>
    <row r="1429" spans="2:18" x14ac:dyDescent="0.2">
      <c r="B1429" s="548">
        <f t="shared" si="22"/>
        <v>2</v>
      </c>
      <c r="C1429" s="553" t="str">
        <f>TEXT(Таблица8[[#This Row],[Дата]],"М")</f>
        <v>1</v>
      </c>
      <c r="D1429" s="547">
        <v>44936</v>
      </c>
      <c r="E1429" s="548" t="s">
        <v>71</v>
      </c>
      <c r="F1429" s="548" t="s">
        <v>94</v>
      </c>
      <c r="G1429" s="549">
        <v>64</v>
      </c>
      <c r="H1429" s="550"/>
      <c r="I1429" s="142"/>
      <c r="J1429" s="142"/>
      <c r="L1429" s="180">
        <f>IFERROR(ДатаНачала,"")</f>
        <v>44927</v>
      </c>
      <c r="M1429" s="181">
        <f t="shared" ref="M1429:M1460" si="24">L1429</f>
        <v>44927</v>
      </c>
      <c r="N1429" s="182">
        <f>17993+3047+285</f>
        <v>21325</v>
      </c>
      <c r="O1429" s="183">
        <v>1568</v>
      </c>
      <c r="P1429" s="184">
        <f t="shared" ref="P1429:P1460" ca="1" si="25">N:N/$M$1461</f>
        <v>1421.6666666666667</v>
      </c>
      <c r="Q1429" s="185"/>
      <c r="R1429" s="172"/>
    </row>
    <row r="1430" spans="2:18" x14ac:dyDescent="0.2">
      <c r="B1430" s="143">
        <f t="shared" si="22"/>
        <v>2</v>
      </c>
      <c r="C1430" s="138" t="str">
        <f>TEXT(Таблица8[[#This Row],[Дата]],"М")</f>
        <v>1</v>
      </c>
      <c r="D1430" s="161">
        <v>44936</v>
      </c>
      <c r="E1430" s="143" t="s">
        <v>20</v>
      </c>
      <c r="F1430" s="143" t="s">
        <v>99</v>
      </c>
      <c r="G1430" s="147">
        <v>274</v>
      </c>
      <c r="H1430" s="146"/>
      <c r="I1430" s="142"/>
      <c r="J1430" s="142"/>
      <c r="L1430" s="180">
        <f t="shared" ref="L1430:L1460" ca="1" si="26">IFERROR(IF(INDIRECT(ADDRESS(ROW()-1, COLUMN()))&lt;&gt;"",IF(INDIRECT(ADDRESS(ROW()-1, COLUMN()))+1&lt;=ДатаОкончания,INDIRECT(ADDRESS(ROW()-1, COLUMN()))+1,""),""),"")</f>
        <v>44928</v>
      </c>
      <c r="M1430" s="181">
        <f t="shared" ca="1" si="24"/>
        <v>44928</v>
      </c>
      <c r="N1430" s="182">
        <f>N1429-O1429+R1463</f>
        <v>19757</v>
      </c>
      <c r="O1430" s="183">
        <v>220</v>
      </c>
      <c r="P1430" s="184">
        <f t="shared" ca="1" si="25"/>
        <v>1317.1333333333334</v>
      </c>
      <c r="Q1430" s="186"/>
      <c r="R1430" s="172"/>
    </row>
    <row r="1431" spans="2:18" x14ac:dyDescent="0.2">
      <c r="B1431" s="148">
        <f t="shared" si="22"/>
        <v>2</v>
      </c>
      <c r="C1431" s="168" t="str">
        <f>TEXT(Таблица8[[#This Row],[Дата]],"М")</f>
        <v>1</v>
      </c>
      <c r="D1431" s="161">
        <v>44936</v>
      </c>
      <c r="E1431" s="148" t="s">
        <v>19</v>
      </c>
      <c r="F1431" s="148" t="s">
        <v>96</v>
      </c>
      <c r="G1431" s="149">
        <v>222</v>
      </c>
      <c r="H1431" s="150"/>
      <c r="I1431" s="142"/>
      <c r="J1431" s="142"/>
      <c r="L1431" s="187">
        <f t="shared" ca="1" si="26"/>
        <v>44929</v>
      </c>
      <c r="M1431" s="181">
        <f t="shared" ca="1" si="24"/>
        <v>44929</v>
      </c>
      <c r="N1431" s="182">
        <f t="shared" ref="N1431:N1456" si="27">N1430-O1430</f>
        <v>19537</v>
      </c>
      <c r="O1431" s="183">
        <v>1069</v>
      </c>
      <c r="P1431" s="184">
        <f t="shared" ca="1" si="25"/>
        <v>1302.4666666666667</v>
      </c>
      <c r="Q1431" s="186"/>
      <c r="R1431" s="172"/>
    </row>
    <row r="1432" spans="2:18" x14ac:dyDescent="0.2">
      <c r="B1432" s="143">
        <f t="shared" si="22"/>
        <v>2</v>
      </c>
      <c r="C1432" s="138" t="str">
        <f>TEXT(Таблица8[[#This Row],[Дата]],"М")</f>
        <v>1</v>
      </c>
      <c r="D1432" s="161">
        <v>44936</v>
      </c>
      <c r="E1432" s="143"/>
      <c r="F1432" s="143"/>
      <c r="G1432" s="147"/>
      <c r="H1432" s="146"/>
      <c r="I1432" s="142"/>
      <c r="J1432" s="142"/>
      <c r="L1432" s="187">
        <f t="shared" ca="1" si="26"/>
        <v>44930</v>
      </c>
      <c r="M1432" s="181">
        <f t="shared" ca="1" si="24"/>
        <v>44930</v>
      </c>
      <c r="N1432" s="182">
        <f t="shared" si="27"/>
        <v>18468</v>
      </c>
      <c r="O1432" s="183">
        <v>1057</v>
      </c>
      <c r="P1432" s="184">
        <f t="shared" ca="1" si="25"/>
        <v>1231.2</v>
      </c>
      <c r="Q1432" s="188"/>
      <c r="R1432" s="189"/>
    </row>
    <row r="1433" spans="2:18" x14ac:dyDescent="0.2">
      <c r="B1433" s="148">
        <f t="shared" si="22"/>
        <v>0</v>
      </c>
      <c r="C1433" s="168" t="str">
        <f>TEXT(Таблица8[[#This Row],[Дата]],"М")</f>
        <v>1</v>
      </c>
      <c r="D1433" s="161"/>
      <c r="E1433" s="148"/>
      <c r="F1433" s="148"/>
      <c r="G1433" s="149"/>
      <c r="H1433" s="150"/>
      <c r="I1433" s="142"/>
      <c r="J1433" s="142"/>
      <c r="L1433" s="187">
        <f t="shared" ca="1" si="26"/>
        <v>44931</v>
      </c>
      <c r="M1433" s="181">
        <f t="shared" ca="1" si="24"/>
        <v>44931</v>
      </c>
      <c r="N1433" s="182">
        <f t="shared" si="27"/>
        <v>17411</v>
      </c>
      <c r="O1433" s="183">
        <v>697</v>
      </c>
      <c r="P1433" s="184">
        <f t="shared" ca="1" si="25"/>
        <v>1160.7333333333333</v>
      </c>
      <c r="Q1433" s="188"/>
      <c r="R1433" s="189"/>
    </row>
    <row r="1434" spans="2:18" x14ac:dyDescent="0.2">
      <c r="B1434" s="143">
        <f t="shared" si="22"/>
        <v>0</v>
      </c>
      <c r="C1434" s="138" t="e">
        <f>TEXT(Таблица8[[#This Row],[Дата]],"М")</f>
        <v>#VALUE!</v>
      </c>
      <c r="D1434" s="144"/>
      <c r="E1434" s="143"/>
      <c r="F1434" s="143"/>
      <c r="G1434" s="147"/>
      <c r="H1434" s="146"/>
      <c r="I1434" s="142"/>
      <c r="J1434" s="142"/>
      <c r="L1434" s="180">
        <f t="shared" ca="1" si="26"/>
        <v>44932</v>
      </c>
      <c r="M1434" s="181">
        <f t="shared" ca="1" si="24"/>
        <v>44932</v>
      </c>
      <c r="N1434" s="182">
        <f t="shared" si="27"/>
        <v>16714</v>
      </c>
      <c r="O1434" s="183">
        <v>3570</v>
      </c>
      <c r="P1434" s="184">
        <f t="shared" ca="1" si="25"/>
        <v>1114.2666666666667</v>
      </c>
      <c r="Q1434" s="188"/>
      <c r="R1434" s="189"/>
    </row>
    <row r="1435" spans="2:18" x14ac:dyDescent="0.2">
      <c r="B1435" s="143">
        <f t="shared" si="22"/>
        <v>0</v>
      </c>
      <c r="C1435" s="138" t="e">
        <f>TEXT(Таблица8[[#This Row],[Дата]],"М")</f>
        <v>#VALUE!</v>
      </c>
      <c r="D1435" s="144"/>
      <c r="E1435" s="143"/>
      <c r="F1435" s="143"/>
      <c r="G1435" s="147"/>
      <c r="H1435" s="146"/>
      <c r="I1435" s="142"/>
      <c r="J1435" s="142"/>
      <c r="L1435" s="180">
        <f t="shared" ca="1" si="26"/>
        <v>44933</v>
      </c>
      <c r="M1435" s="181">
        <f t="shared" ca="1" si="24"/>
        <v>44933</v>
      </c>
      <c r="N1435" s="182">
        <f t="shared" si="27"/>
        <v>13144</v>
      </c>
      <c r="O1435" s="183">
        <v>0</v>
      </c>
      <c r="P1435" s="184">
        <f t="shared" ca="1" si="25"/>
        <v>876.26666666666665</v>
      </c>
      <c r="Q1435" s="185"/>
      <c r="R1435" s="172"/>
    </row>
    <row r="1436" spans="2:18" x14ac:dyDescent="0.2">
      <c r="B1436" s="143">
        <f t="shared" si="22"/>
        <v>0</v>
      </c>
      <c r="C1436" s="138" t="e">
        <f>TEXT(Таблица8[[#This Row],[Дата]],"М")</f>
        <v>#VALUE!</v>
      </c>
      <c r="D1436" s="144"/>
      <c r="E1436" s="143"/>
      <c r="F1436" s="143"/>
      <c r="G1436" s="147"/>
      <c r="H1436" s="146"/>
      <c r="I1436" s="142"/>
      <c r="J1436" s="142"/>
      <c r="L1436" s="180">
        <f t="shared" ca="1" si="26"/>
        <v>44934</v>
      </c>
      <c r="M1436" s="181">
        <f t="shared" ca="1" si="24"/>
        <v>44934</v>
      </c>
      <c r="N1436" s="182">
        <f t="shared" si="27"/>
        <v>13144</v>
      </c>
      <c r="O1436" s="183">
        <v>703</v>
      </c>
      <c r="P1436" s="184">
        <f t="shared" ca="1" si="25"/>
        <v>876.26666666666665</v>
      </c>
      <c r="Q1436" s="185"/>
      <c r="R1436" s="172"/>
    </row>
    <row r="1437" spans="2:18" x14ac:dyDescent="0.2">
      <c r="B1437" s="143">
        <f t="shared" si="22"/>
        <v>0</v>
      </c>
      <c r="C1437" s="138" t="e">
        <f>TEXT(Таблица8[[#This Row],[Дата]],"М")</f>
        <v>#VALUE!</v>
      </c>
      <c r="D1437" s="144"/>
      <c r="E1437" s="143"/>
      <c r="F1437" s="143"/>
      <c r="G1437" s="147"/>
      <c r="H1437" s="146"/>
      <c r="I1437" s="142"/>
      <c r="J1437" s="142"/>
      <c r="L1437" s="187">
        <f t="shared" ca="1" si="26"/>
        <v>44935</v>
      </c>
      <c r="M1437" s="181">
        <f t="shared" ca="1" si="24"/>
        <v>44935</v>
      </c>
      <c r="N1437" s="182">
        <f t="shared" si="27"/>
        <v>12441</v>
      </c>
      <c r="O1437" s="183">
        <v>474</v>
      </c>
      <c r="P1437" s="184">
        <f t="shared" ca="1" si="25"/>
        <v>829.4</v>
      </c>
      <c r="Q1437" s="185"/>
      <c r="R1437" s="172"/>
    </row>
    <row r="1438" spans="2:18" x14ac:dyDescent="0.2">
      <c r="B1438" s="143">
        <f t="shared" si="22"/>
        <v>0</v>
      </c>
      <c r="C1438" s="138" t="e">
        <f>TEXT(Таблица8[[#This Row],[Дата]],"М")</f>
        <v>#VALUE!</v>
      </c>
      <c r="D1438" s="144"/>
      <c r="E1438" s="143"/>
      <c r="F1438" s="143"/>
      <c r="G1438" s="147"/>
      <c r="H1438" s="146"/>
      <c r="I1438" s="142"/>
      <c r="J1438" s="142"/>
      <c r="L1438" s="187">
        <f t="shared" ca="1" si="26"/>
        <v>44936</v>
      </c>
      <c r="M1438" s="181">
        <f t="shared" ca="1" si="24"/>
        <v>44936</v>
      </c>
      <c r="N1438" s="182">
        <f>N1437-O1437</f>
        <v>11967</v>
      </c>
      <c r="O1438" s="183">
        <v>560</v>
      </c>
      <c r="P1438" s="184">
        <f t="shared" ca="1" si="25"/>
        <v>797.8</v>
      </c>
      <c r="Q1438" s="188"/>
      <c r="R1438" s="189"/>
    </row>
    <row r="1439" spans="2:18" x14ac:dyDescent="0.2">
      <c r="B1439" s="143">
        <f t="shared" si="22"/>
        <v>0</v>
      </c>
      <c r="C1439" s="138" t="e">
        <f>TEXT(Таблица8[[#This Row],[Дата]],"М")</f>
        <v>#VALUE!</v>
      </c>
      <c r="D1439" s="144"/>
      <c r="E1439" s="143"/>
      <c r="F1439" s="143"/>
      <c r="G1439" s="147"/>
      <c r="H1439" s="146"/>
      <c r="I1439" s="195" t="s">
        <v>171</v>
      </c>
      <c r="J1439" s="196"/>
      <c r="K1439" s="197"/>
      <c r="L1439" s="187">
        <f t="shared" ca="1" si="26"/>
        <v>44937</v>
      </c>
      <c r="M1439" s="181">
        <f t="shared" ca="1" si="24"/>
        <v>44937</v>
      </c>
      <c r="N1439" s="182">
        <f t="shared" si="27"/>
        <v>11407</v>
      </c>
      <c r="O1439" s="183">
        <v>0</v>
      </c>
      <c r="P1439" s="184">
        <f t="shared" ca="1" si="25"/>
        <v>760.4666666666667</v>
      </c>
      <c r="Q1439" s="188"/>
      <c r="R1439" s="189"/>
    </row>
    <row r="1440" spans="2:18" x14ac:dyDescent="0.2">
      <c r="B1440" s="143">
        <f t="shared" si="22"/>
        <v>0</v>
      </c>
      <c r="C1440" s="138" t="e">
        <f>TEXT(Таблица8[[#This Row],[Дата]],"М")</f>
        <v>#VALUE!</v>
      </c>
      <c r="D1440" s="144"/>
      <c r="E1440" s="143"/>
      <c r="F1440" s="143"/>
      <c r="G1440" s="147"/>
      <c r="H1440" s="146"/>
      <c r="I1440" s="198" t="s">
        <v>172</v>
      </c>
      <c r="J1440" s="146"/>
      <c r="K1440" s="199"/>
      <c r="L1440" s="180">
        <f t="shared" ca="1" si="26"/>
        <v>44938</v>
      </c>
      <c r="M1440" s="181">
        <f t="shared" ca="1" si="24"/>
        <v>44938</v>
      </c>
      <c r="N1440" s="182">
        <f t="shared" si="27"/>
        <v>11407</v>
      </c>
      <c r="O1440" s="183">
        <v>0</v>
      </c>
      <c r="P1440" s="184">
        <f t="shared" ca="1" si="25"/>
        <v>760.4666666666667</v>
      </c>
      <c r="Q1440" s="188"/>
      <c r="R1440" s="189"/>
    </row>
    <row r="1441" spans="2:18" x14ac:dyDescent="0.2">
      <c r="B1441" s="143">
        <f t="shared" si="22"/>
        <v>0</v>
      </c>
      <c r="C1441" s="138" t="e">
        <f>TEXT(Таблица8[[#This Row],[Дата]],"М")</f>
        <v>#VALUE!</v>
      </c>
      <c r="D1441" s="144"/>
      <c r="E1441" s="143"/>
      <c r="F1441" s="143"/>
      <c r="G1441" s="147"/>
      <c r="H1441" s="146"/>
      <c r="I1441" s="198" t="s">
        <v>173</v>
      </c>
      <c r="J1441" s="146"/>
      <c r="K1441" s="199"/>
      <c r="L1441" s="200">
        <f t="shared" ca="1" si="26"/>
        <v>44939</v>
      </c>
      <c r="M1441" s="181">
        <f t="shared" ca="1" si="24"/>
        <v>44939</v>
      </c>
      <c r="N1441" s="182">
        <f>N1440-O1440</f>
        <v>11407</v>
      </c>
      <c r="O1441" s="183">
        <v>0</v>
      </c>
      <c r="P1441" s="184">
        <f t="shared" ca="1" si="25"/>
        <v>760.4666666666667</v>
      </c>
      <c r="Q1441" s="185"/>
      <c r="R1441" s="172"/>
    </row>
    <row r="1442" spans="2:18" x14ac:dyDescent="0.2">
      <c r="B1442" s="143">
        <f t="shared" si="22"/>
        <v>0</v>
      </c>
      <c r="C1442" s="138" t="e">
        <f>TEXT(Таблица8[[#This Row],[Дата]],"М")</f>
        <v>#VALUE!</v>
      </c>
      <c r="D1442" s="144"/>
      <c r="E1442" s="143"/>
      <c r="F1442" s="143"/>
      <c r="G1442" s="147"/>
      <c r="H1442" s="146"/>
      <c r="I1442" s="554" t="s">
        <v>351</v>
      </c>
      <c r="J1442" s="146"/>
      <c r="K1442" s="199"/>
      <c r="L1442" s="180">
        <f t="shared" ca="1" si="26"/>
        <v>44940</v>
      </c>
      <c r="M1442" s="201">
        <f t="shared" ca="1" si="24"/>
        <v>44940</v>
      </c>
      <c r="N1442" s="182">
        <f t="shared" si="27"/>
        <v>11407</v>
      </c>
      <c r="O1442" s="183">
        <v>0</v>
      </c>
      <c r="P1442" s="184">
        <f t="shared" ca="1" si="25"/>
        <v>760.4666666666667</v>
      </c>
      <c r="Q1442" s="185"/>
      <c r="R1442" s="172"/>
    </row>
    <row r="1443" spans="2:18" x14ac:dyDescent="0.2">
      <c r="B1443" s="143">
        <f t="shared" si="22"/>
        <v>0</v>
      </c>
      <c r="C1443" s="138" t="e">
        <f>TEXT(Таблица8[[#This Row],[Дата]],"М")</f>
        <v>#VALUE!</v>
      </c>
      <c r="D1443" s="144"/>
      <c r="E1443" s="143"/>
      <c r="F1443" s="143"/>
      <c r="G1443" s="147"/>
      <c r="H1443" s="146"/>
      <c r="I1443" s="198" t="s">
        <v>174</v>
      </c>
      <c r="J1443" s="146"/>
      <c r="K1443" s="199"/>
      <c r="L1443" s="187">
        <f t="shared" ca="1" si="26"/>
        <v>44941</v>
      </c>
      <c r="M1443" s="202">
        <f t="shared" ca="1" si="24"/>
        <v>44941</v>
      </c>
      <c r="N1443" s="182">
        <f t="shared" si="27"/>
        <v>11407</v>
      </c>
      <c r="O1443" s="183">
        <v>0</v>
      </c>
      <c r="P1443" s="184">
        <f t="shared" ca="1" si="25"/>
        <v>760.4666666666667</v>
      </c>
      <c r="Q1443" s="185"/>
      <c r="R1443" s="172"/>
    </row>
    <row r="1444" spans="2:18" x14ac:dyDescent="0.2">
      <c r="B1444" s="143">
        <f t="shared" si="22"/>
        <v>0</v>
      </c>
      <c r="C1444" s="138" t="e">
        <f>TEXT(Таблица8[[#This Row],[Дата]],"М")</f>
        <v>#VALUE!</v>
      </c>
      <c r="D1444" s="144"/>
      <c r="E1444" s="143"/>
      <c r="F1444" s="143"/>
      <c r="G1444" s="147"/>
      <c r="H1444" s="146"/>
      <c r="I1444" s="198"/>
      <c r="J1444" s="146"/>
      <c r="K1444" s="199"/>
      <c r="L1444" s="187">
        <f t="shared" ca="1" si="26"/>
        <v>44942</v>
      </c>
      <c r="M1444" s="181">
        <f t="shared" ca="1" si="24"/>
        <v>44942</v>
      </c>
      <c r="N1444" s="182">
        <f t="shared" si="27"/>
        <v>11407</v>
      </c>
      <c r="O1444" s="183">
        <v>0</v>
      </c>
      <c r="P1444" s="184">
        <f t="shared" ca="1" si="25"/>
        <v>760.4666666666667</v>
      </c>
      <c r="Q1444" s="188"/>
      <c r="R1444" s="189"/>
    </row>
    <row r="1445" spans="2:18" x14ac:dyDescent="0.2">
      <c r="B1445" s="143">
        <f t="shared" si="22"/>
        <v>0</v>
      </c>
      <c r="C1445" s="138" t="e">
        <f>TEXT(Таблица8[[#This Row],[Дата]],"М")</f>
        <v>#VALUE!</v>
      </c>
      <c r="D1445" s="144"/>
      <c r="E1445" s="143"/>
      <c r="F1445" s="143"/>
      <c r="G1445" s="147"/>
      <c r="H1445" s="146"/>
      <c r="J1445" s="146"/>
      <c r="K1445" s="199"/>
      <c r="L1445" s="187">
        <f t="shared" ca="1" si="26"/>
        <v>44943</v>
      </c>
      <c r="M1445" s="181">
        <f t="shared" ca="1" si="24"/>
        <v>44943</v>
      </c>
      <c r="N1445" s="182">
        <f t="shared" si="27"/>
        <v>11407</v>
      </c>
      <c r="O1445" s="183">
        <v>0</v>
      </c>
      <c r="P1445" s="184">
        <f t="shared" ca="1" si="25"/>
        <v>760.4666666666667</v>
      </c>
      <c r="Q1445" s="188"/>
      <c r="R1445" s="189"/>
    </row>
    <row r="1446" spans="2:18" x14ac:dyDescent="0.2">
      <c r="B1446" s="143">
        <f t="shared" si="22"/>
        <v>0</v>
      </c>
      <c r="C1446" s="138" t="e">
        <f>TEXT(Таблица8[[#This Row],[Дата]],"М")</f>
        <v>#VALUE!</v>
      </c>
      <c r="D1446" s="144"/>
      <c r="E1446" s="143"/>
      <c r="F1446" s="143"/>
      <c r="G1446" s="147"/>
      <c r="H1446" s="146"/>
      <c r="J1446" s="146"/>
      <c r="K1446" s="199"/>
      <c r="L1446" s="180">
        <f t="shared" ca="1" si="26"/>
        <v>44944</v>
      </c>
      <c r="M1446" s="181">
        <f t="shared" ca="1" si="24"/>
        <v>44944</v>
      </c>
      <c r="N1446" s="182">
        <f t="shared" si="27"/>
        <v>11407</v>
      </c>
      <c r="O1446" s="183">
        <v>0</v>
      </c>
      <c r="P1446" s="184">
        <f t="shared" ca="1" si="25"/>
        <v>760.4666666666667</v>
      </c>
      <c r="Q1446" s="188"/>
      <c r="R1446" s="189"/>
    </row>
    <row r="1447" spans="2:18" x14ac:dyDescent="0.2">
      <c r="B1447" s="143">
        <f t="shared" si="22"/>
        <v>0</v>
      </c>
      <c r="C1447" s="138" t="e">
        <f>TEXT(Таблица8[[#This Row],[Дата]],"М")</f>
        <v>#VALUE!</v>
      </c>
      <c r="D1447" s="144"/>
      <c r="E1447" s="143"/>
      <c r="F1447" s="143"/>
      <c r="G1447" s="147"/>
      <c r="H1447" s="146"/>
      <c r="J1447" s="146"/>
      <c r="K1447" s="199"/>
      <c r="L1447" s="180">
        <f t="shared" ca="1" si="26"/>
        <v>44945</v>
      </c>
      <c r="M1447" s="181">
        <f t="shared" ca="1" si="24"/>
        <v>44945</v>
      </c>
      <c r="N1447" s="182">
        <f t="shared" si="27"/>
        <v>11407</v>
      </c>
      <c r="O1447" s="183">
        <v>0</v>
      </c>
      <c r="P1447" s="184">
        <f t="shared" ca="1" si="25"/>
        <v>760.4666666666667</v>
      </c>
      <c r="Q1447" s="185"/>
      <c r="R1447" s="172"/>
    </row>
    <row r="1448" spans="2:18" x14ac:dyDescent="0.2">
      <c r="B1448" s="143">
        <f t="shared" si="22"/>
        <v>0</v>
      </c>
      <c r="C1448" s="138" t="e">
        <f>TEXT(Таблица8[[#This Row],[Дата]],"М")</f>
        <v>#VALUE!</v>
      </c>
      <c r="D1448" s="144"/>
      <c r="E1448" s="143"/>
      <c r="F1448" s="143"/>
      <c r="G1448" s="147"/>
      <c r="H1448" s="146"/>
      <c r="J1448" s="146"/>
      <c r="K1448" s="199"/>
      <c r="L1448" s="180">
        <f t="shared" ca="1" si="26"/>
        <v>44946</v>
      </c>
      <c r="M1448" s="181">
        <f t="shared" ca="1" si="24"/>
        <v>44946</v>
      </c>
      <c r="N1448" s="182">
        <f t="shared" si="27"/>
        <v>11407</v>
      </c>
      <c r="O1448" s="183">
        <v>0</v>
      </c>
      <c r="P1448" s="184">
        <f t="shared" ca="1" si="25"/>
        <v>760.4666666666667</v>
      </c>
      <c r="Q1448" s="185"/>
      <c r="R1448" s="172"/>
    </row>
    <row r="1449" spans="2:18" x14ac:dyDescent="0.2">
      <c r="B1449" s="143">
        <f t="shared" si="22"/>
        <v>0</v>
      </c>
      <c r="C1449" s="138" t="e">
        <f>TEXT(Таблица8[[#This Row],[Дата]],"М")</f>
        <v>#VALUE!</v>
      </c>
      <c r="D1449" s="144"/>
      <c r="E1449" s="143"/>
      <c r="F1449" s="143"/>
      <c r="G1449" s="147"/>
      <c r="H1449" s="146"/>
      <c r="J1449" s="146"/>
      <c r="K1449" s="199"/>
      <c r="L1449" s="187">
        <f t="shared" ca="1" si="26"/>
        <v>44947</v>
      </c>
      <c r="M1449" s="181">
        <f t="shared" ca="1" si="24"/>
        <v>44947</v>
      </c>
      <c r="N1449" s="182">
        <f t="shared" si="27"/>
        <v>11407</v>
      </c>
      <c r="O1449" s="183">
        <v>0</v>
      </c>
      <c r="P1449" s="184">
        <f t="shared" ca="1" si="25"/>
        <v>760.4666666666667</v>
      </c>
      <c r="Q1449" s="185"/>
      <c r="R1449" s="172"/>
    </row>
    <row r="1450" spans="2:18" x14ac:dyDescent="0.2">
      <c r="B1450" s="143">
        <f t="shared" si="22"/>
        <v>0</v>
      </c>
      <c r="C1450" s="138" t="e">
        <f>TEXT(Таблица8[[#This Row],[Дата]],"М")</f>
        <v>#VALUE!</v>
      </c>
      <c r="D1450" s="144"/>
      <c r="E1450" s="143"/>
      <c r="F1450" s="143"/>
      <c r="G1450" s="147"/>
      <c r="H1450" s="146"/>
      <c r="J1450" s="146"/>
      <c r="K1450" s="199"/>
      <c r="L1450" s="187">
        <f t="shared" ca="1" si="26"/>
        <v>44948</v>
      </c>
      <c r="M1450" s="181">
        <f t="shared" ca="1" si="24"/>
        <v>44948</v>
      </c>
      <c r="N1450" s="182">
        <f t="shared" si="27"/>
        <v>11407</v>
      </c>
      <c r="O1450" s="183">
        <v>0</v>
      </c>
      <c r="P1450" s="184">
        <f t="shared" ca="1" si="25"/>
        <v>760.4666666666667</v>
      </c>
      <c r="Q1450" s="188"/>
      <c r="R1450" s="189"/>
    </row>
    <row r="1451" spans="2:18" x14ac:dyDescent="0.2">
      <c r="B1451" s="143">
        <f t="shared" si="22"/>
        <v>0</v>
      </c>
      <c r="C1451" s="138" t="e">
        <f>TEXT(Таблица8[[#This Row],[Дата]],"М")</f>
        <v>#VALUE!</v>
      </c>
      <c r="D1451" s="144"/>
      <c r="E1451" s="143"/>
      <c r="F1451" s="143"/>
      <c r="G1451" s="147"/>
      <c r="H1451" s="146"/>
      <c r="J1451" s="146"/>
      <c r="K1451" s="199"/>
      <c r="L1451" s="187">
        <f t="shared" ca="1" si="26"/>
        <v>44949</v>
      </c>
      <c r="M1451" s="181">
        <f t="shared" ca="1" si="24"/>
        <v>44949</v>
      </c>
      <c r="N1451" s="182">
        <f>N1450-O1450+R1464</f>
        <v>11407</v>
      </c>
      <c r="O1451" s="183">
        <v>0</v>
      </c>
      <c r="P1451" s="184">
        <f t="shared" ca="1" si="25"/>
        <v>760.4666666666667</v>
      </c>
      <c r="Q1451" s="188"/>
      <c r="R1451" s="189"/>
    </row>
    <row r="1452" spans="2:18" x14ac:dyDescent="0.2">
      <c r="B1452" s="143">
        <f t="shared" si="22"/>
        <v>0</v>
      </c>
      <c r="C1452" s="138" t="e">
        <f>TEXT(Таблица8[[#This Row],[Дата]],"М")</f>
        <v>#VALUE!</v>
      </c>
      <c r="D1452" s="144"/>
      <c r="E1452" s="143"/>
      <c r="F1452" s="143"/>
      <c r="G1452" s="147"/>
      <c r="H1452" s="146"/>
      <c r="I1452" s="195" t="s">
        <v>175</v>
      </c>
      <c r="J1452" s="196"/>
      <c r="K1452" s="203"/>
      <c r="L1452" s="180">
        <f t="shared" ca="1" si="26"/>
        <v>44950</v>
      </c>
      <c r="M1452" s="181">
        <f t="shared" ca="1" si="24"/>
        <v>44950</v>
      </c>
      <c r="N1452" s="182">
        <f>N1451-O1451</f>
        <v>11407</v>
      </c>
      <c r="O1452" s="183">
        <v>0</v>
      </c>
      <c r="P1452" s="184">
        <f t="shared" ca="1" si="25"/>
        <v>760.4666666666667</v>
      </c>
      <c r="Q1452" s="188"/>
      <c r="R1452" s="189"/>
    </row>
    <row r="1453" spans="2:18" x14ac:dyDescent="0.2">
      <c r="B1453" s="143">
        <f t="shared" si="22"/>
        <v>0</v>
      </c>
      <c r="C1453" s="138" t="e">
        <f>TEXT(Таблица8[[#This Row],[Дата]],"М")</f>
        <v>#VALUE!</v>
      </c>
      <c r="D1453" s="144"/>
      <c r="E1453" s="143"/>
      <c r="F1453" s="143"/>
      <c r="G1453" s="147"/>
      <c r="H1453" s="146"/>
      <c r="I1453" s="142" t="s">
        <v>176</v>
      </c>
      <c r="J1453" s="142"/>
      <c r="K1453" s="204"/>
      <c r="L1453" s="180">
        <f t="shared" ca="1" si="26"/>
        <v>44951</v>
      </c>
      <c r="M1453" s="202">
        <f t="shared" ca="1" si="24"/>
        <v>44951</v>
      </c>
      <c r="N1453" s="182">
        <f t="shared" si="27"/>
        <v>11407</v>
      </c>
      <c r="O1453" s="183">
        <v>0</v>
      </c>
      <c r="P1453" s="184">
        <f t="shared" ca="1" si="25"/>
        <v>760.4666666666667</v>
      </c>
      <c r="Q1453" s="185"/>
      <c r="R1453" s="172"/>
    </row>
    <row r="1454" spans="2:18" x14ac:dyDescent="0.2">
      <c r="B1454" s="143">
        <f t="shared" si="22"/>
        <v>0</v>
      </c>
      <c r="C1454" s="138" t="e">
        <f>TEXT(Таблица8[[#This Row],[Дата]],"М")</f>
        <v>#VALUE!</v>
      </c>
      <c r="D1454" s="144"/>
      <c r="E1454" s="143"/>
      <c r="F1454" s="143"/>
      <c r="G1454" s="147"/>
      <c r="H1454" s="146"/>
      <c r="I1454" s="125" t="s">
        <v>177</v>
      </c>
      <c r="J1454" s="142"/>
      <c r="K1454" s="204"/>
      <c r="L1454" s="180">
        <f t="shared" ca="1" si="26"/>
        <v>44952</v>
      </c>
      <c r="M1454" s="181">
        <f t="shared" ca="1" si="24"/>
        <v>44952</v>
      </c>
      <c r="N1454" s="182">
        <f t="shared" si="27"/>
        <v>11407</v>
      </c>
      <c r="O1454" s="183">
        <v>0</v>
      </c>
      <c r="P1454" s="184">
        <f t="shared" ca="1" si="25"/>
        <v>760.4666666666667</v>
      </c>
      <c r="Q1454" s="185"/>
      <c r="R1454" s="172"/>
    </row>
    <row r="1455" spans="2:18" x14ac:dyDescent="0.2">
      <c r="B1455" s="143">
        <f t="shared" si="22"/>
        <v>0</v>
      </c>
      <c r="C1455" s="138" t="e">
        <f>TEXT(Таблица8[[#This Row],[Дата]],"М")</f>
        <v>#VALUE!</v>
      </c>
      <c r="D1455" s="144"/>
      <c r="E1455" s="143"/>
      <c r="F1455" s="143"/>
      <c r="G1455" s="147"/>
      <c r="H1455" s="146"/>
      <c r="J1455" s="142"/>
      <c r="K1455" s="204"/>
      <c r="L1455" s="187">
        <f t="shared" ca="1" si="26"/>
        <v>44953</v>
      </c>
      <c r="M1455" s="181">
        <f t="shared" ca="1" si="24"/>
        <v>44953</v>
      </c>
      <c r="N1455" s="182">
        <f t="shared" si="27"/>
        <v>11407</v>
      </c>
      <c r="O1455" s="183">
        <v>0</v>
      </c>
      <c r="P1455" s="184">
        <f t="shared" ca="1" si="25"/>
        <v>760.4666666666667</v>
      </c>
      <c r="Q1455" s="185"/>
      <c r="R1455" s="172"/>
    </row>
    <row r="1456" spans="2:18" x14ac:dyDescent="0.2">
      <c r="B1456" s="143">
        <f t="shared" si="22"/>
        <v>0</v>
      </c>
      <c r="C1456" s="138" t="e">
        <f>TEXT(Таблица8[[#This Row],[Дата]],"М")</f>
        <v>#VALUE!</v>
      </c>
      <c r="D1456" s="144"/>
      <c r="E1456" s="143"/>
      <c r="F1456" s="143"/>
      <c r="G1456" s="147"/>
      <c r="H1456" s="146"/>
      <c r="I1456" s="205"/>
      <c r="K1456" s="204"/>
      <c r="L1456" s="187">
        <f t="shared" ca="1" si="26"/>
        <v>44954</v>
      </c>
      <c r="M1456" s="202">
        <f t="shared" ca="1" si="24"/>
        <v>44954</v>
      </c>
      <c r="N1456" s="182">
        <f t="shared" si="27"/>
        <v>11407</v>
      </c>
      <c r="O1456" s="183">
        <v>0</v>
      </c>
      <c r="P1456" s="184">
        <f t="shared" ca="1" si="25"/>
        <v>760.4666666666667</v>
      </c>
      <c r="Q1456" s="188"/>
      <c r="R1456" s="189"/>
    </row>
    <row r="1457" spans="2:20" x14ac:dyDescent="0.2">
      <c r="B1457" s="143">
        <f t="shared" si="22"/>
        <v>0</v>
      </c>
      <c r="C1457" s="138" t="e">
        <f>TEXT(Таблица8[[#This Row],[Дата]],"М")</f>
        <v>#VALUE!</v>
      </c>
      <c r="D1457" s="144"/>
      <c r="E1457" s="143"/>
      <c r="F1457" s="143"/>
      <c r="G1457" s="147"/>
      <c r="H1457" s="146"/>
      <c r="I1457" s="198"/>
      <c r="J1457" s="142"/>
      <c r="K1457" s="204"/>
      <c r="L1457" s="187">
        <f t="shared" ca="1" si="26"/>
        <v>44955</v>
      </c>
      <c r="M1457" s="181">
        <f t="shared" ca="1" si="24"/>
        <v>44955</v>
      </c>
      <c r="N1457" s="182">
        <f>N1456-O1456+R1465</f>
        <v>11407</v>
      </c>
      <c r="O1457" s="183">
        <v>0</v>
      </c>
      <c r="P1457" s="184">
        <f t="shared" ca="1" si="25"/>
        <v>760.4666666666667</v>
      </c>
      <c r="Q1457" s="188"/>
      <c r="R1457" s="189"/>
    </row>
    <row r="1458" spans="2:20" x14ac:dyDescent="0.2">
      <c r="B1458" s="143">
        <f t="shared" si="22"/>
        <v>0</v>
      </c>
      <c r="C1458" s="138" t="e">
        <f>TEXT(Таблица8[[#This Row],[Дата]],"М")</f>
        <v>#VALUE!</v>
      </c>
      <c r="D1458" s="144"/>
      <c r="E1458" s="143"/>
      <c r="F1458" s="143"/>
      <c r="G1458" s="147"/>
      <c r="H1458" s="146"/>
      <c r="J1458" s="142"/>
      <c r="K1458" s="204"/>
      <c r="L1458" s="180">
        <f t="shared" ca="1" si="26"/>
        <v>44956</v>
      </c>
      <c r="M1458" s="202">
        <f t="shared" ca="1" si="24"/>
        <v>44956</v>
      </c>
      <c r="N1458" s="182">
        <f>N1457-O1457</f>
        <v>11407</v>
      </c>
      <c r="O1458" s="183">
        <v>0</v>
      </c>
      <c r="P1458" s="184">
        <f t="shared" ca="1" si="25"/>
        <v>760.4666666666667</v>
      </c>
      <c r="Q1458" s="188"/>
      <c r="R1458" s="189"/>
      <c r="S1458" s="505" t="s">
        <v>178</v>
      </c>
      <c r="T1458" s="506" t="s">
        <v>179</v>
      </c>
    </row>
    <row r="1459" spans="2:20" x14ac:dyDescent="0.2">
      <c r="B1459" s="143">
        <f t="shared" si="22"/>
        <v>0</v>
      </c>
      <c r="C1459" s="138" t="e">
        <f>TEXT(Таблица8[[#This Row],[Дата]],"М")</f>
        <v>#VALUE!</v>
      </c>
      <c r="D1459" s="144"/>
      <c r="E1459" s="143"/>
      <c r="F1459" s="143"/>
      <c r="G1459" s="147"/>
      <c r="H1459" s="146"/>
      <c r="J1459" s="142"/>
      <c r="K1459" s="204"/>
      <c r="L1459" s="180">
        <f t="shared" ca="1" si="26"/>
        <v>44957</v>
      </c>
      <c r="M1459" s="181">
        <f t="shared" ca="1" si="24"/>
        <v>44957</v>
      </c>
      <c r="N1459" s="182">
        <f t="shared" ref="N1459:N1461" si="28">N1458-O1458</f>
        <v>11407</v>
      </c>
      <c r="O1459" s="183">
        <v>0</v>
      </c>
      <c r="P1459" s="184">
        <f t="shared" ca="1" si="25"/>
        <v>760.4666666666667</v>
      </c>
      <c r="Q1459" s="188"/>
      <c r="R1459" s="189"/>
      <c r="S1459" s="207" t="s">
        <v>180</v>
      </c>
      <c r="T1459" s="207">
        <v>69.020200000000003</v>
      </c>
    </row>
    <row r="1460" spans="2:20" x14ac:dyDescent="0.2">
      <c r="B1460" s="143">
        <f t="shared" si="22"/>
        <v>0</v>
      </c>
      <c r="C1460" s="138" t="e">
        <f>TEXT(Таблица8[[#This Row],[Дата]],"М")</f>
        <v>#VALUE!</v>
      </c>
      <c r="D1460" s="144"/>
      <c r="E1460" s="143"/>
      <c r="F1460" s="143"/>
      <c r="G1460" s="147"/>
      <c r="H1460" s="146"/>
      <c r="J1460" s="142"/>
      <c r="K1460" s="204"/>
      <c r="L1460" s="180" t="str">
        <f t="shared" ca="1" si="26"/>
        <v/>
      </c>
      <c r="M1460" s="181" t="str">
        <f t="shared" ca="1" si="24"/>
        <v/>
      </c>
      <c r="N1460" s="182">
        <f t="shared" si="28"/>
        <v>11407</v>
      </c>
      <c r="O1460" s="183">
        <v>0</v>
      </c>
      <c r="P1460" s="184">
        <f t="shared" ca="1" si="25"/>
        <v>760.4666666666667</v>
      </c>
      <c r="Q1460" s="188"/>
      <c r="R1460" s="189"/>
      <c r="S1460" s="207" t="s">
        <v>181</v>
      </c>
      <c r="T1460" s="207">
        <v>74.136099999999999</v>
      </c>
    </row>
    <row r="1461" spans="2:20" ht="14.25" customHeight="1" x14ac:dyDescent="0.2">
      <c r="B1461" s="143">
        <f t="shared" si="22"/>
        <v>0</v>
      </c>
      <c r="C1461" s="138" t="e">
        <f>TEXT(Таблица8[[#This Row],[Дата]],"М")</f>
        <v>#VALUE!</v>
      </c>
      <c r="D1461" s="144"/>
      <c r="E1461" s="143"/>
      <c r="F1461" s="143"/>
      <c r="G1461" s="147"/>
      <c r="H1461" s="146"/>
      <c r="I1461" s="198"/>
      <c r="J1461" s="142"/>
      <c r="L1461" s="208" t="s">
        <v>182</v>
      </c>
      <c r="M1461" s="209">
        <f ca="1">M1454-TODAY()</f>
        <v>15</v>
      </c>
      <c r="N1461" s="182">
        <f t="shared" si="28"/>
        <v>11407</v>
      </c>
      <c r="O1461" s="189">
        <f>AVERAGE(O1429:O1460)</f>
        <v>309.9375</v>
      </c>
    </row>
    <row r="1462" spans="2:20" x14ac:dyDescent="0.2">
      <c r="B1462" s="143">
        <f t="shared" si="22"/>
        <v>0</v>
      </c>
      <c r="C1462" s="138" t="e">
        <f>TEXT(Таблица8[[#This Row],[Дата]],"М")</f>
        <v>#VALUE!</v>
      </c>
      <c r="D1462" s="144"/>
      <c r="E1462" s="143"/>
      <c r="F1462" s="143"/>
      <c r="G1462" s="147"/>
      <c r="H1462" s="146"/>
      <c r="L1462" s="121">
        <v>44952</v>
      </c>
      <c r="M1462" s="210">
        <f ca="1">L1462-TODAY()</f>
        <v>15</v>
      </c>
      <c r="N1462" s="123">
        <f ca="1">N1461/M1461</f>
        <v>760.4666666666667</v>
      </c>
    </row>
    <row r="1463" spans="2:20" ht="15" customHeight="1" x14ac:dyDescent="0.2">
      <c r="B1463" s="143">
        <f t="shared" si="22"/>
        <v>0</v>
      </c>
      <c r="C1463" s="138" t="e">
        <f>TEXT(Таблица8[[#This Row],[Дата]],"М")</f>
        <v>#VALUE!</v>
      </c>
      <c r="D1463" s="144"/>
      <c r="E1463" s="143"/>
      <c r="F1463" s="143"/>
      <c r="G1463" s="147"/>
      <c r="H1463" s="146"/>
      <c r="J1463" s="142"/>
      <c r="L1463" s="211"/>
      <c r="M1463" s="211"/>
      <c r="Q1463" s="212" t="s">
        <v>183</v>
      </c>
      <c r="R1463" s="147"/>
    </row>
    <row r="1464" spans="2:20" x14ac:dyDescent="0.2">
      <c r="B1464" s="143">
        <f t="shared" ref="B1464:B1527" si="29">WEEKNUM(D1464)</f>
        <v>0</v>
      </c>
      <c r="C1464" s="138" t="e">
        <f>TEXT(Таблица8[[#This Row],[Дата]],"М")</f>
        <v>#VALUE!</v>
      </c>
      <c r="D1464" s="144"/>
      <c r="E1464" s="143"/>
      <c r="F1464" s="143"/>
      <c r="G1464" s="147"/>
      <c r="H1464" s="146"/>
      <c r="I1464" s="142"/>
      <c r="J1464" s="142"/>
      <c r="Q1464" s="212" t="s">
        <v>184</v>
      </c>
      <c r="R1464" s="147"/>
    </row>
    <row r="1465" spans="2:20" x14ac:dyDescent="0.2">
      <c r="B1465" s="143">
        <f t="shared" si="29"/>
        <v>0</v>
      </c>
      <c r="C1465" s="138" t="e">
        <f>TEXT(Таблица8[[#This Row],[Дата]],"М")</f>
        <v>#VALUE!</v>
      </c>
      <c r="D1465" s="144"/>
      <c r="E1465" s="143"/>
      <c r="F1465" s="143"/>
      <c r="G1465" s="147"/>
      <c r="H1465" s="146"/>
      <c r="I1465" s="142"/>
      <c r="J1465" s="142"/>
      <c r="M1465" s="213"/>
      <c r="Q1465" s="212" t="s">
        <v>185</v>
      </c>
      <c r="R1465" s="147"/>
    </row>
    <row r="1466" spans="2:20" x14ac:dyDescent="0.2">
      <c r="B1466" s="143">
        <f t="shared" si="29"/>
        <v>0</v>
      </c>
      <c r="C1466" s="138" t="e">
        <f>TEXT(Таблица8[[#This Row],[Дата]],"М")</f>
        <v>#VALUE!</v>
      </c>
      <c r="D1466" s="144"/>
      <c r="E1466" s="143"/>
      <c r="F1466" s="143"/>
      <c r="G1466" s="147"/>
      <c r="H1466" s="146"/>
      <c r="I1466" s="142"/>
      <c r="J1466" s="142"/>
      <c r="L1466" s="213"/>
      <c r="M1466" s="165"/>
      <c r="Q1466" s="214" t="s">
        <v>186</v>
      </c>
      <c r="R1466" s="147">
        <f>285+3047</f>
        <v>3332</v>
      </c>
    </row>
    <row r="1467" spans="2:20" x14ac:dyDescent="0.2">
      <c r="B1467" s="143">
        <f t="shared" si="29"/>
        <v>0</v>
      </c>
      <c r="C1467" s="138" t="e">
        <f>TEXT(Таблица8[[#This Row],[Дата]],"М")</f>
        <v>#VALUE!</v>
      </c>
      <c r="D1467" s="144"/>
      <c r="E1467" s="143"/>
      <c r="F1467" s="143"/>
      <c r="G1467" s="147"/>
      <c r="H1467" s="146"/>
      <c r="I1467" s="142"/>
      <c r="J1467" s="142"/>
      <c r="Q1467" s="214" t="s">
        <v>187</v>
      </c>
      <c r="R1467" s="215"/>
    </row>
    <row r="1468" spans="2:20" x14ac:dyDescent="0.2">
      <c r="B1468" s="143">
        <f t="shared" si="29"/>
        <v>0</v>
      </c>
      <c r="C1468" s="138" t="e">
        <f>TEXT(Таблица8[[#This Row],[Дата]],"М")</f>
        <v>#VALUE!</v>
      </c>
      <c r="D1468" s="144"/>
      <c r="E1468" s="143"/>
      <c r="F1468" s="143"/>
      <c r="G1468" s="147"/>
      <c r="H1468" s="146"/>
      <c r="I1468" s="142"/>
      <c r="J1468" s="142"/>
      <c r="K1468" s="216"/>
    </row>
    <row r="1469" spans="2:20" x14ac:dyDescent="0.2">
      <c r="B1469" s="143">
        <f t="shared" si="29"/>
        <v>0</v>
      </c>
      <c r="C1469" s="138" t="e">
        <f>TEXT(Таблица8[[#This Row],[Дата]],"М")</f>
        <v>#VALUE!</v>
      </c>
      <c r="D1469" s="144"/>
      <c r="E1469" s="143"/>
      <c r="F1469" s="143"/>
      <c r="G1469" s="147"/>
      <c r="H1469" s="146"/>
      <c r="I1469" s="142"/>
      <c r="J1469" s="142"/>
    </row>
    <row r="1470" spans="2:20" x14ac:dyDescent="0.2">
      <c r="B1470" s="143">
        <f t="shared" si="29"/>
        <v>0</v>
      </c>
      <c r="C1470" s="138" t="e">
        <f>TEXT(Таблица8[[#This Row],[Дата]],"М")</f>
        <v>#VALUE!</v>
      </c>
      <c r="D1470" s="144"/>
      <c r="E1470" s="143"/>
      <c r="F1470" s="143"/>
      <c r="G1470" s="147"/>
      <c r="H1470" s="146"/>
      <c r="I1470" s="142"/>
      <c r="J1470" s="142"/>
    </row>
    <row r="1471" spans="2:20" x14ac:dyDescent="0.2">
      <c r="B1471" s="143">
        <f t="shared" si="29"/>
        <v>0</v>
      </c>
      <c r="C1471" s="138" t="e">
        <f>TEXT(Таблица8[[#This Row],[Дата]],"М")</f>
        <v>#VALUE!</v>
      </c>
      <c r="D1471" s="144"/>
      <c r="E1471" s="143"/>
      <c r="F1471" s="143"/>
      <c r="G1471" s="147"/>
      <c r="H1471" s="146"/>
      <c r="I1471" s="142"/>
      <c r="J1471" s="142"/>
    </row>
    <row r="1472" spans="2:20" x14ac:dyDescent="0.2">
      <c r="B1472" s="143">
        <f t="shared" si="29"/>
        <v>0</v>
      </c>
      <c r="C1472" s="138" t="e">
        <f>TEXT(Таблица8[[#This Row],[Дата]],"М")</f>
        <v>#VALUE!</v>
      </c>
      <c r="D1472" s="144"/>
      <c r="E1472" s="143"/>
      <c r="F1472" s="143"/>
      <c r="G1472" s="147"/>
      <c r="H1472" s="146"/>
      <c r="I1472" s="142"/>
      <c r="J1472" s="142"/>
    </row>
    <row r="1473" spans="2:10" x14ac:dyDescent="0.2">
      <c r="B1473" s="143">
        <f t="shared" si="29"/>
        <v>0</v>
      </c>
      <c r="C1473" s="138" t="e">
        <f>TEXT(Таблица8[[#This Row],[Дата]],"М")</f>
        <v>#VALUE!</v>
      </c>
      <c r="D1473" s="144"/>
      <c r="E1473" s="143"/>
      <c r="F1473" s="143"/>
      <c r="G1473" s="147"/>
      <c r="H1473" s="146"/>
      <c r="I1473" s="142"/>
      <c r="J1473" s="142"/>
    </row>
    <row r="1474" spans="2:10" x14ac:dyDescent="0.2">
      <c r="B1474" s="143">
        <f t="shared" si="29"/>
        <v>0</v>
      </c>
      <c r="C1474" s="138" t="e">
        <f>TEXT(Таблица8[[#This Row],[Дата]],"М")</f>
        <v>#VALUE!</v>
      </c>
      <c r="D1474" s="144"/>
      <c r="E1474" s="143"/>
      <c r="F1474" s="143"/>
      <c r="G1474" s="147"/>
      <c r="H1474" s="146"/>
      <c r="I1474" s="142"/>
      <c r="J1474" s="142"/>
    </row>
    <row r="1475" spans="2:10" x14ac:dyDescent="0.2">
      <c r="B1475" s="143">
        <f t="shared" si="29"/>
        <v>0</v>
      </c>
      <c r="C1475" s="138" t="e">
        <f>TEXT(Таблица8[[#This Row],[Дата]],"М")</f>
        <v>#VALUE!</v>
      </c>
      <c r="D1475" s="144"/>
      <c r="E1475" s="143"/>
      <c r="F1475" s="143"/>
      <c r="G1475" s="147"/>
      <c r="H1475" s="146"/>
      <c r="I1475" s="142"/>
      <c r="J1475" s="142"/>
    </row>
    <row r="1476" spans="2:10" x14ac:dyDescent="0.2">
      <c r="B1476" s="143">
        <f t="shared" si="29"/>
        <v>0</v>
      </c>
      <c r="C1476" s="138" t="e">
        <f>TEXT(Таблица8[[#This Row],[Дата]],"М")</f>
        <v>#VALUE!</v>
      </c>
      <c r="D1476" s="144"/>
      <c r="E1476" s="143"/>
      <c r="F1476" s="143"/>
      <c r="G1476" s="147"/>
      <c r="H1476" s="146"/>
      <c r="I1476" s="142"/>
      <c r="J1476" s="142"/>
    </row>
    <row r="1477" spans="2:10" ht="14.25" x14ac:dyDescent="0.2">
      <c r="B1477" s="143">
        <f t="shared" si="29"/>
        <v>0</v>
      </c>
      <c r="C1477" s="138" t="e">
        <f>TEXT(Таблица8[[#This Row],[Дата]],"М")</f>
        <v>#VALUE!</v>
      </c>
      <c r="D1477" s="144"/>
      <c r="E1477" s="143"/>
      <c r="F1477" s="143"/>
      <c r="G1477" s="147"/>
      <c r="H1477" s="146"/>
      <c r="I1477" s="142"/>
      <c r="J1477" s="142"/>
    </row>
    <row r="1478" spans="2:10" ht="14.25" x14ac:dyDescent="0.2">
      <c r="B1478" s="143">
        <f t="shared" si="29"/>
        <v>0</v>
      </c>
      <c r="C1478" s="138" t="e">
        <f>TEXT(Таблица8[[#This Row],[Дата]],"М")</f>
        <v>#VALUE!</v>
      </c>
      <c r="D1478" s="144"/>
      <c r="E1478" s="143"/>
      <c r="F1478" s="143"/>
      <c r="G1478" s="147"/>
      <c r="H1478" s="146"/>
      <c r="I1478" s="142"/>
      <c r="J1478" s="142"/>
    </row>
    <row r="1479" spans="2:10" ht="14.25" x14ac:dyDescent="0.2">
      <c r="B1479" s="143">
        <f t="shared" si="29"/>
        <v>0</v>
      </c>
      <c r="C1479" s="138" t="e">
        <f>TEXT(Таблица8[[#This Row],[Дата]],"М")</f>
        <v>#VALUE!</v>
      </c>
      <c r="D1479" s="144"/>
      <c r="E1479" s="143"/>
      <c r="F1479" s="143"/>
      <c r="G1479" s="147"/>
      <c r="H1479" s="146"/>
      <c r="I1479" s="142"/>
      <c r="J1479" s="142"/>
    </row>
    <row r="1480" spans="2:10" ht="14.25" x14ac:dyDescent="0.2">
      <c r="B1480" s="143">
        <f t="shared" si="29"/>
        <v>0</v>
      </c>
      <c r="C1480" s="138" t="e">
        <f>TEXT(Таблица8[[#This Row],[Дата]],"М")</f>
        <v>#VALUE!</v>
      </c>
      <c r="D1480" s="144"/>
      <c r="E1480" s="143"/>
      <c r="F1480" s="143"/>
      <c r="G1480" s="147"/>
      <c r="H1480" s="146"/>
      <c r="I1480" s="142"/>
      <c r="J1480" s="142"/>
    </row>
    <row r="1481" spans="2:10" ht="14.25" x14ac:dyDescent="0.2">
      <c r="B1481" s="143">
        <f t="shared" si="29"/>
        <v>0</v>
      </c>
      <c r="C1481" s="138" t="e">
        <f>TEXT(Таблица8[[#This Row],[Дата]],"М")</f>
        <v>#VALUE!</v>
      </c>
      <c r="D1481" s="144"/>
      <c r="E1481" s="143"/>
      <c r="F1481" s="143"/>
      <c r="G1481" s="147"/>
      <c r="H1481" s="146"/>
      <c r="I1481" s="142"/>
      <c r="J1481" s="142"/>
    </row>
    <row r="1482" spans="2:10" ht="14.25" x14ac:dyDescent="0.2">
      <c r="B1482" s="143">
        <f t="shared" si="29"/>
        <v>0</v>
      </c>
      <c r="C1482" s="138" t="e">
        <f>TEXT(Таблица8[[#This Row],[Дата]],"М")</f>
        <v>#VALUE!</v>
      </c>
      <c r="D1482" s="144"/>
      <c r="E1482" s="143"/>
      <c r="F1482" s="143"/>
      <c r="G1482" s="147"/>
      <c r="H1482" s="146"/>
      <c r="I1482" s="142"/>
      <c r="J1482" s="142"/>
    </row>
    <row r="1483" spans="2:10" ht="14.25" x14ac:dyDescent="0.2">
      <c r="B1483" s="143">
        <f t="shared" si="29"/>
        <v>0</v>
      </c>
      <c r="C1483" s="138" t="e">
        <f>TEXT(Таблица8[[#This Row],[Дата]],"М")</f>
        <v>#VALUE!</v>
      </c>
      <c r="D1483" s="144"/>
      <c r="E1483" s="143"/>
      <c r="F1483" s="143"/>
      <c r="G1483" s="147"/>
      <c r="H1483" s="146"/>
      <c r="I1483" s="142"/>
      <c r="J1483" s="142"/>
    </row>
    <row r="1484" spans="2:10" ht="14.25" x14ac:dyDescent="0.2">
      <c r="B1484" s="143">
        <f t="shared" si="29"/>
        <v>0</v>
      </c>
      <c r="C1484" s="138" t="e">
        <f>TEXT(Таблица8[[#This Row],[Дата]],"М")</f>
        <v>#VALUE!</v>
      </c>
      <c r="D1484" s="144"/>
      <c r="E1484" s="143"/>
      <c r="F1484" s="143"/>
      <c r="G1484" s="147"/>
      <c r="H1484" s="146"/>
      <c r="I1484" s="142"/>
      <c r="J1484" s="142"/>
    </row>
    <row r="1485" spans="2:10" ht="14.25" x14ac:dyDescent="0.2">
      <c r="B1485" s="143">
        <f t="shared" si="29"/>
        <v>0</v>
      </c>
      <c r="C1485" s="138" t="e">
        <f>TEXT(Таблица8[[#This Row],[Дата]],"М")</f>
        <v>#VALUE!</v>
      </c>
      <c r="D1485" s="144"/>
      <c r="E1485" s="143"/>
      <c r="F1485" s="143"/>
      <c r="G1485" s="147"/>
      <c r="H1485" s="146"/>
      <c r="I1485" s="142"/>
      <c r="J1485" s="142"/>
    </row>
    <row r="1486" spans="2:10" ht="14.25" x14ac:dyDescent="0.2">
      <c r="B1486" s="143">
        <f t="shared" si="29"/>
        <v>0</v>
      </c>
      <c r="C1486" s="138" t="e">
        <f>TEXT(Таблица8[[#This Row],[Дата]],"М")</f>
        <v>#VALUE!</v>
      </c>
      <c r="D1486" s="144"/>
      <c r="E1486" s="143"/>
      <c r="F1486" s="143"/>
      <c r="G1486" s="147"/>
      <c r="H1486" s="146"/>
      <c r="I1486" s="142"/>
      <c r="J1486" s="142"/>
    </row>
    <row r="1487" spans="2:10" ht="14.25" x14ac:dyDescent="0.2">
      <c r="B1487" s="143">
        <f t="shared" si="29"/>
        <v>0</v>
      </c>
      <c r="C1487" s="138" t="e">
        <f>TEXT(Таблица8[[#This Row],[Дата]],"М")</f>
        <v>#VALUE!</v>
      </c>
      <c r="D1487" s="144"/>
      <c r="E1487" s="143"/>
      <c r="F1487" s="143"/>
      <c r="G1487" s="147"/>
      <c r="H1487" s="146"/>
      <c r="I1487" s="142"/>
      <c r="J1487" s="142"/>
    </row>
    <row r="1488" spans="2:10" ht="14.25" x14ac:dyDescent="0.2">
      <c r="B1488" s="143">
        <f t="shared" si="29"/>
        <v>0</v>
      </c>
      <c r="C1488" s="138" t="e">
        <f>TEXT(Таблица8[[#This Row],[Дата]],"М")</f>
        <v>#VALUE!</v>
      </c>
      <c r="D1488" s="144"/>
      <c r="E1488" s="143"/>
      <c r="F1488" s="143"/>
      <c r="G1488" s="147"/>
      <c r="H1488" s="146"/>
      <c r="I1488" s="142"/>
      <c r="J1488" s="142"/>
    </row>
    <row r="1489" spans="2:10" ht="14.25" x14ac:dyDescent="0.2">
      <c r="B1489" s="143">
        <f t="shared" si="29"/>
        <v>0</v>
      </c>
      <c r="C1489" s="138" t="e">
        <f>TEXT(Таблица8[[#This Row],[Дата]],"М")</f>
        <v>#VALUE!</v>
      </c>
      <c r="D1489" s="144"/>
      <c r="E1489" s="143"/>
      <c r="F1489" s="143"/>
      <c r="G1489" s="147"/>
      <c r="H1489" s="146"/>
      <c r="I1489" s="142"/>
      <c r="J1489" s="142"/>
    </row>
    <row r="1490" spans="2:10" ht="14.25" x14ac:dyDescent="0.2">
      <c r="B1490" s="143">
        <f t="shared" si="29"/>
        <v>0</v>
      </c>
      <c r="C1490" s="138" t="e">
        <f>TEXT(Таблица8[[#This Row],[Дата]],"М")</f>
        <v>#VALUE!</v>
      </c>
      <c r="D1490" s="144"/>
      <c r="E1490" s="143"/>
      <c r="F1490" s="143"/>
      <c r="G1490" s="147"/>
      <c r="H1490" s="146"/>
      <c r="I1490" s="142"/>
      <c r="J1490" s="142"/>
    </row>
    <row r="1491" spans="2:10" ht="14.25" x14ac:dyDescent="0.2">
      <c r="B1491" s="143">
        <f t="shared" si="29"/>
        <v>0</v>
      </c>
      <c r="C1491" s="138" t="e">
        <f>TEXT(Таблица8[[#This Row],[Дата]],"М")</f>
        <v>#VALUE!</v>
      </c>
      <c r="D1491" s="144"/>
      <c r="E1491" s="143"/>
      <c r="F1491" s="143"/>
      <c r="G1491" s="147"/>
      <c r="H1491" s="146"/>
      <c r="I1491" s="142"/>
      <c r="J1491" s="142"/>
    </row>
    <row r="1492" spans="2:10" ht="14.25" x14ac:dyDescent="0.2">
      <c r="B1492" s="143">
        <f t="shared" si="29"/>
        <v>0</v>
      </c>
      <c r="C1492" s="138" t="e">
        <f>TEXT(Таблица8[[#This Row],[Дата]],"М")</f>
        <v>#VALUE!</v>
      </c>
      <c r="D1492" s="144"/>
      <c r="E1492" s="143"/>
      <c r="F1492" s="143"/>
      <c r="G1492" s="147"/>
      <c r="H1492" s="146"/>
      <c r="I1492" s="142"/>
      <c r="J1492" s="142"/>
    </row>
    <row r="1493" spans="2:10" ht="14.25" x14ac:dyDescent="0.2">
      <c r="B1493" s="143">
        <f t="shared" si="29"/>
        <v>0</v>
      </c>
      <c r="C1493" s="138" t="e">
        <f>TEXT(Таблица8[[#This Row],[Дата]],"М")</f>
        <v>#VALUE!</v>
      </c>
      <c r="D1493" s="144"/>
      <c r="E1493" s="143"/>
      <c r="F1493" s="143"/>
      <c r="G1493" s="147"/>
      <c r="H1493" s="146"/>
      <c r="I1493" s="142"/>
      <c r="J1493" s="142"/>
    </row>
    <row r="1494" spans="2:10" ht="14.25" x14ac:dyDescent="0.2">
      <c r="B1494" s="143">
        <f t="shared" si="29"/>
        <v>0</v>
      </c>
      <c r="C1494" s="138" t="e">
        <f>TEXT(Таблица8[[#This Row],[Дата]],"М")</f>
        <v>#VALUE!</v>
      </c>
      <c r="D1494" s="144"/>
      <c r="E1494" s="143"/>
      <c r="F1494" s="143"/>
      <c r="G1494" s="147"/>
      <c r="H1494" s="146"/>
      <c r="I1494" s="142"/>
      <c r="J1494" s="142"/>
    </row>
    <row r="1495" spans="2:10" ht="14.25" x14ac:dyDescent="0.2">
      <c r="B1495" s="143">
        <f t="shared" si="29"/>
        <v>0</v>
      </c>
      <c r="C1495" s="138" t="e">
        <f>TEXT(Таблица8[[#This Row],[Дата]],"М")</f>
        <v>#VALUE!</v>
      </c>
      <c r="D1495" s="144"/>
      <c r="E1495" s="143"/>
      <c r="F1495" s="143"/>
      <c r="G1495" s="147"/>
      <c r="H1495" s="146"/>
      <c r="I1495" s="142"/>
      <c r="J1495" s="142"/>
    </row>
    <row r="1496" spans="2:10" ht="14.25" x14ac:dyDescent="0.2">
      <c r="B1496" s="143">
        <f t="shared" si="29"/>
        <v>0</v>
      </c>
      <c r="C1496" s="138" t="e">
        <f>TEXT(Таблица8[[#This Row],[Дата]],"М")</f>
        <v>#VALUE!</v>
      </c>
      <c r="D1496" s="144"/>
      <c r="E1496" s="143"/>
      <c r="F1496" s="143"/>
      <c r="G1496" s="147"/>
      <c r="H1496" s="146"/>
      <c r="I1496" s="142"/>
      <c r="J1496" s="142"/>
    </row>
    <row r="1497" spans="2:10" ht="14.25" x14ac:dyDescent="0.2">
      <c r="B1497" s="143">
        <f t="shared" si="29"/>
        <v>0</v>
      </c>
      <c r="C1497" s="138" t="e">
        <f>TEXT(Таблица8[[#This Row],[Дата]],"М")</f>
        <v>#VALUE!</v>
      </c>
      <c r="D1497" s="144"/>
      <c r="E1497" s="143"/>
      <c r="F1497" s="143"/>
      <c r="G1497" s="147"/>
      <c r="H1497" s="146"/>
      <c r="I1497" s="142"/>
      <c r="J1497" s="142"/>
    </row>
    <row r="1498" spans="2:10" ht="14.25" x14ac:dyDescent="0.2">
      <c r="B1498" s="143">
        <f t="shared" si="29"/>
        <v>0</v>
      </c>
      <c r="C1498" s="138" t="e">
        <f>TEXT(Таблица8[[#This Row],[Дата]],"М")</f>
        <v>#VALUE!</v>
      </c>
      <c r="D1498" s="144"/>
      <c r="E1498" s="143"/>
      <c r="F1498" s="143"/>
      <c r="G1498" s="147"/>
      <c r="H1498" s="146"/>
      <c r="I1498" s="142"/>
      <c r="J1498" s="142"/>
    </row>
    <row r="1499" spans="2:10" ht="14.25" x14ac:dyDescent="0.2">
      <c r="B1499" s="143">
        <f t="shared" si="29"/>
        <v>0</v>
      </c>
      <c r="C1499" s="138" t="e">
        <f>TEXT(Таблица8[[#This Row],[Дата]],"М")</f>
        <v>#VALUE!</v>
      </c>
      <c r="D1499" s="144"/>
      <c r="E1499" s="143"/>
      <c r="F1499" s="143"/>
      <c r="G1499" s="147"/>
      <c r="H1499" s="146"/>
      <c r="I1499" s="142"/>
      <c r="J1499" s="142"/>
    </row>
    <row r="1500" spans="2:10" ht="14.25" x14ac:dyDescent="0.2">
      <c r="B1500" s="143">
        <f t="shared" si="29"/>
        <v>0</v>
      </c>
      <c r="C1500" s="138" t="e">
        <f>TEXT(Таблица8[[#This Row],[Дата]],"М")</f>
        <v>#VALUE!</v>
      </c>
      <c r="D1500" s="144"/>
      <c r="E1500" s="143"/>
      <c r="F1500" s="143"/>
      <c r="G1500" s="147"/>
      <c r="H1500" s="146"/>
      <c r="I1500" s="142"/>
      <c r="J1500" s="142"/>
    </row>
    <row r="1501" spans="2:10" ht="14.25" x14ac:dyDescent="0.2">
      <c r="B1501" s="143">
        <f t="shared" si="29"/>
        <v>0</v>
      </c>
      <c r="C1501" s="138" t="e">
        <f>TEXT(Таблица8[[#This Row],[Дата]],"М")</f>
        <v>#VALUE!</v>
      </c>
      <c r="D1501" s="144"/>
      <c r="E1501" s="143"/>
      <c r="F1501" s="143"/>
      <c r="G1501" s="147"/>
      <c r="H1501" s="146"/>
      <c r="I1501" s="142"/>
      <c r="J1501" s="142"/>
    </row>
    <row r="1502" spans="2:10" ht="14.25" x14ac:dyDescent="0.2">
      <c r="B1502" s="143">
        <f t="shared" si="29"/>
        <v>0</v>
      </c>
      <c r="C1502" s="138" t="e">
        <f>TEXT(Таблица8[[#This Row],[Дата]],"М")</f>
        <v>#VALUE!</v>
      </c>
      <c r="D1502" s="144"/>
      <c r="E1502" s="143"/>
      <c r="F1502" s="143"/>
      <c r="G1502" s="147"/>
      <c r="H1502" s="146"/>
      <c r="I1502" s="142"/>
      <c r="J1502" s="142"/>
    </row>
    <row r="1503" spans="2:10" ht="14.25" x14ac:dyDescent="0.2">
      <c r="B1503" s="143">
        <f t="shared" si="29"/>
        <v>0</v>
      </c>
      <c r="C1503" s="138" t="e">
        <f>TEXT(Таблица8[[#This Row],[Дата]],"М")</f>
        <v>#VALUE!</v>
      </c>
      <c r="D1503" s="144"/>
      <c r="E1503" s="143"/>
      <c r="F1503" s="143"/>
      <c r="G1503" s="147"/>
      <c r="H1503" s="146"/>
      <c r="I1503" s="142"/>
      <c r="J1503" s="142"/>
    </row>
    <row r="1504" spans="2:10" ht="14.25" x14ac:dyDescent="0.2">
      <c r="B1504" s="143">
        <f t="shared" si="29"/>
        <v>0</v>
      </c>
      <c r="C1504" s="138" t="e">
        <f>TEXT(Таблица8[[#This Row],[Дата]],"М")</f>
        <v>#VALUE!</v>
      </c>
      <c r="D1504" s="144"/>
      <c r="E1504" s="143"/>
      <c r="F1504" s="143"/>
      <c r="G1504" s="147"/>
      <c r="H1504" s="146"/>
      <c r="I1504" s="142"/>
      <c r="J1504" s="142"/>
    </row>
    <row r="1505" spans="2:10" ht="14.25" x14ac:dyDescent="0.2">
      <c r="B1505" s="143">
        <f t="shared" si="29"/>
        <v>0</v>
      </c>
      <c r="C1505" s="138" t="e">
        <f>TEXT(Таблица8[[#This Row],[Дата]],"М")</f>
        <v>#VALUE!</v>
      </c>
      <c r="D1505" s="144"/>
      <c r="E1505" s="143"/>
      <c r="F1505" s="143"/>
      <c r="G1505" s="147"/>
      <c r="H1505" s="146"/>
      <c r="I1505" s="142"/>
      <c r="J1505" s="142"/>
    </row>
    <row r="1506" spans="2:10" ht="14.25" x14ac:dyDescent="0.2">
      <c r="B1506" s="143">
        <f t="shared" si="29"/>
        <v>0</v>
      </c>
      <c r="C1506" s="138" t="e">
        <f>TEXT(Таблица8[[#This Row],[Дата]],"М")</f>
        <v>#VALUE!</v>
      </c>
      <c r="D1506" s="144"/>
      <c r="E1506" s="143"/>
      <c r="F1506" s="143"/>
      <c r="G1506" s="147"/>
      <c r="H1506" s="146"/>
      <c r="I1506" s="142"/>
      <c r="J1506" s="142"/>
    </row>
    <row r="1507" spans="2:10" ht="14.25" x14ac:dyDescent="0.2">
      <c r="B1507" s="143">
        <f t="shared" si="29"/>
        <v>0</v>
      </c>
      <c r="C1507" s="138" t="e">
        <f>TEXT(Таблица8[[#This Row],[Дата]],"М")</f>
        <v>#VALUE!</v>
      </c>
      <c r="D1507" s="144"/>
      <c r="E1507" s="143"/>
      <c r="F1507" s="143"/>
      <c r="G1507" s="147"/>
      <c r="H1507" s="146"/>
      <c r="I1507" s="142"/>
      <c r="J1507" s="142"/>
    </row>
    <row r="1508" spans="2:10" ht="14.25" x14ac:dyDescent="0.2">
      <c r="B1508" s="143">
        <f t="shared" si="29"/>
        <v>0</v>
      </c>
      <c r="C1508" s="138" t="e">
        <f>TEXT(Таблица8[[#This Row],[Дата]],"М")</f>
        <v>#VALUE!</v>
      </c>
      <c r="D1508" s="144"/>
      <c r="E1508" s="143"/>
      <c r="F1508" s="143"/>
      <c r="G1508" s="147"/>
      <c r="H1508" s="146"/>
      <c r="I1508" s="142"/>
      <c r="J1508" s="142"/>
    </row>
    <row r="1509" spans="2:10" ht="14.25" x14ac:dyDescent="0.2">
      <c r="B1509" s="143">
        <f t="shared" si="29"/>
        <v>0</v>
      </c>
      <c r="C1509" s="138" t="e">
        <f>TEXT(Таблица8[[#This Row],[Дата]],"М")</f>
        <v>#VALUE!</v>
      </c>
      <c r="D1509" s="144"/>
      <c r="E1509" s="143"/>
      <c r="F1509" s="143"/>
      <c r="G1509" s="147"/>
      <c r="H1509" s="146"/>
      <c r="I1509" s="142"/>
      <c r="J1509" s="142"/>
    </row>
    <row r="1510" spans="2:10" ht="14.25" x14ac:dyDescent="0.2">
      <c r="B1510" s="143">
        <f t="shared" si="29"/>
        <v>0</v>
      </c>
      <c r="C1510" s="138" t="e">
        <f>TEXT(Таблица8[[#This Row],[Дата]],"М")</f>
        <v>#VALUE!</v>
      </c>
      <c r="D1510" s="144"/>
      <c r="E1510" s="143"/>
      <c r="F1510" s="143"/>
      <c r="G1510" s="147"/>
      <c r="H1510" s="146"/>
      <c r="I1510" s="142"/>
      <c r="J1510" s="142"/>
    </row>
    <row r="1511" spans="2:10" ht="14.25" x14ac:dyDescent="0.2">
      <c r="B1511" s="143">
        <f t="shared" si="29"/>
        <v>0</v>
      </c>
      <c r="C1511" s="138" t="e">
        <f>TEXT(Таблица8[[#This Row],[Дата]],"М")</f>
        <v>#VALUE!</v>
      </c>
      <c r="D1511" s="144"/>
      <c r="E1511" s="143"/>
      <c r="F1511" s="143"/>
      <c r="G1511" s="147"/>
      <c r="H1511" s="146"/>
      <c r="I1511" s="142"/>
      <c r="J1511" s="142"/>
    </row>
    <row r="1512" spans="2:10" ht="14.25" x14ac:dyDescent="0.2">
      <c r="B1512" s="143">
        <f t="shared" si="29"/>
        <v>0</v>
      </c>
      <c r="C1512" s="138" t="e">
        <f>TEXT(Таблица8[[#This Row],[Дата]],"М")</f>
        <v>#VALUE!</v>
      </c>
      <c r="D1512" s="144"/>
      <c r="E1512" s="143"/>
      <c r="F1512" s="143"/>
      <c r="G1512" s="147"/>
      <c r="H1512" s="146"/>
      <c r="I1512" s="142"/>
      <c r="J1512" s="142"/>
    </row>
    <row r="1513" spans="2:10" ht="14.25" x14ac:dyDescent="0.2">
      <c r="B1513" s="143">
        <f t="shared" si="29"/>
        <v>0</v>
      </c>
      <c r="C1513" s="138" t="e">
        <f>TEXT(Таблица8[[#This Row],[Дата]],"М")</f>
        <v>#VALUE!</v>
      </c>
      <c r="D1513" s="144"/>
      <c r="E1513" s="143"/>
      <c r="F1513" s="143"/>
      <c r="G1513" s="147"/>
      <c r="H1513" s="146"/>
      <c r="I1513" s="142"/>
      <c r="J1513" s="142"/>
    </row>
    <row r="1514" spans="2:10" ht="14.25" x14ac:dyDescent="0.2">
      <c r="B1514" s="143">
        <f t="shared" si="29"/>
        <v>0</v>
      </c>
      <c r="C1514" s="138" t="e">
        <f>TEXT(Таблица8[[#This Row],[Дата]],"М")</f>
        <v>#VALUE!</v>
      </c>
      <c r="D1514" s="144"/>
      <c r="E1514" s="143"/>
      <c r="F1514" s="143"/>
      <c r="G1514" s="147"/>
      <c r="H1514" s="146"/>
      <c r="I1514" s="142"/>
      <c r="J1514" s="142"/>
    </row>
    <row r="1515" spans="2:10" ht="14.25" x14ac:dyDescent="0.2">
      <c r="B1515" s="143">
        <f t="shared" si="29"/>
        <v>0</v>
      </c>
      <c r="C1515" s="138" t="e">
        <f>TEXT(Таблица8[[#This Row],[Дата]],"М")</f>
        <v>#VALUE!</v>
      </c>
      <c r="D1515" s="144"/>
      <c r="E1515" s="143"/>
      <c r="F1515" s="143"/>
      <c r="G1515" s="147"/>
      <c r="H1515" s="146"/>
      <c r="I1515" s="142"/>
      <c r="J1515" s="142"/>
    </row>
    <row r="1516" spans="2:10" ht="14.25" x14ac:dyDescent="0.2">
      <c r="B1516" s="143">
        <f t="shared" si="29"/>
        <v>0</v>
      </c>
      <c r="C1516" s="138" t="e">
        <f>TEXT(Таблица8[[#This Row],[Дата]],"М")</f>
        <v>#VALUE!</v>
      </c>
      <c r="D1516" s="144"/>
      <c r="E1516" s="143"/>
      <c r="F1516" s="143"/>
      <c r="G1516" s="147"/>
      <c r="H1516" s="146"/>
      <c r="I1516" s="142"/>
      <c r="J1516" s="142"/>
    </row>
    <row r="1517" spans="2:10" ht="14.25" x14ac:dyDescent="0.2">
      <c r="B1517" s="143">
        <f t="shared" si="29"/>
        <v>0</v>
      </c>
      <c r="C1517" s="138" t="e">
        <f>TEXT(Таблица8[[#This Row],[Дата]],"М")</f>
        <v>#VALUE!</v>
      </c>
      <c r="D1517" s="144"/>
      <c r="E1517" s="143"/>
      <c r="F1517" s="143"/>
      <c r="G1517" s="147"/>
      <c r="H1517" s="146"/>
      <c r="I1517" s="142"/>
      <c r="J1517" s="142"/>
    </row>
    <row r="1518" spans="2:10" ht="14.25" x14ac:dyDescent="0.2">
      <c r="B1518" s="143">
        <f t="shared" si="29"/>
        <v>0</v>
      </c>
      <c r="C1518" s="138" t="e">
        <f>TEXT(Таблица8[[#This Row],[Дата]],"М")</f>
        <v>#VALUE!</v>
      </c>
      <c r="D1518" s="144"/>
      <c r="E1518" s="143"/>
      <c r="F1518" s="143"/>
      <c r="G1518" s="147"/>
      <c r="H1518" s="146"/>
      <c r="I1518" s="142"/>
      <c r="J1518" s="142"/>
    </row>
    <row r="1519" spans="2:10" ht="14.25" x14ac:dyDescent="0.2">
      <c r="B1519" s="143">
        <f t="shared" si="29"/>
        <v>0</v>
      </c>
      <c r="C1519" s="138" t="e">
        <f>TEXT(Таблица8[[#This Row],[Дата]],"М")</f>
        <v>#VALUE!</v>
      </c>
      <c r="D1519" s="144"/>
      <c r="E1519" s="143"/>
      <c r="F1519" s="143"/>
      <c r="G1519" s="147"/>
      <c r="H1519" s="146"/>
      <c r="I1519" s="142"/>
      <c r="J1519" s="142"/>
    </row>
    <row r="1520" spans="2:10" ht="14.25" x14ac:dyDescent="0.2">
      <c r="B1520" s="143">
        <f t="shared" si="29"/>
        <v>0</v>
      </c>
      <c r="C1520" s="138" t="e">
        <f>TEXT(Таблица8[[#This Row],[Дата]],"М")</f>
        <v>#VALUE!</v>
      </c>
      <c r="D1520" s="144"/>
      <c r="E1520" s="143"/>
      <c r="F1520" s="143"/>
      <c r="G1520" s="147"/>
      <c r="H1520" s="146"/>
      <c r="I1520" s="142"/>
      <c r="J1520" s="142"/>
    </row>
    <row r="1521" spans="2:10" ht="14.25" x14ac:dyDescent="0.2">
      <c r="B1521" s="143">
        <f t="shared" si="29"/>
        <v>0</v>
      </c>
      <c r="C1521" s="138" t="e">
        <f>TEXT(Таблица8[[#This Row],[Дата]],"М")</f>
        <v>#VALUE!</v>
      </c>
      <c r="D1521" s="144"/>
      <c r="E1521" s="143"/>
      <c r="F1521" s="143"/>
      <c r="G1521" s="147"/>
      <c r="H1521" s="146"/>
      <c r="I1521" s="142"/>
      <c r="J1521" s="142"/>
    </row>
    <row r="1522" spans="2:10" ht="14.25" x14ac:dyDescent="0.2">
      <c r="B1522" s="143">
        <f t="shared" si="29"/>
        <v>0</v>
      </c>
      <c r="C1522" s="138" t="e">
        <f>TEXT(Таблица8[[#This Row],[Дата]],"М")</f>
        <v>#VALUE!</v>
      </c>
      <c r="D1522" s="144"/>
      <c r="E1522" s="143"/>
      <c r="F1522" s="143"/>
      <c r="G1522" s="147"/>
      <c r="H1522" s="146"/>
      <c r="I1522" s="142"/>
      <c r="J1522" s="142"/>
    </row>
    <row r="1523" spans="2:10" ht="14.25" x14ac:dyDescent="0.2">
      <c r="B1523" s="143">
        <f t="shared" si="29"/>
        <v>0</v>
      </c>
      <c r="C1523" s="138" t="e">
        <f>TEXT(Таблица8[[#This Row],[Дата]],"М")</f>
        <v>#VALUE!</v>
      </c>
      <c r="D1523" s="144"/>
      <c r="E1523" s="143"/>
      <c r="F1523" s="143"/>
      <c r="G1523" s="147"/>
      <c r="H1523" s="146"/>
      <c r="I1523" s="142"/>
      <c r="J1523" s="142"/>
    </row>
    <row r="1524" spans="2:10" ht="14.25" x14ac:dyDescent="0.2">
      <c r="B1524" s="143">
        <f t="shared" si="29"/>
        <v>0</v>
      </c>
      <c r="C1524" s="138" t="e">
        <f>TEXT(Таблица8[[#This Row],[Дата]],"М")</f>
        <v>#VALUE!</v>
      </c>
      <c r="D1524" s="144"/>
      <c r="E1524" s="143"/>
      <c r="F1524" s="143"/>
      <c r="G1524" s="147"/>
      <c r="H1524" s="146"/>
      <c r="I1524" s="142"/>
      <c r="J1524" s="142"/>
    </row>
    <row r="1525" spans="2:10" ht="14.25" x14ac:dyDescent="0.2">
      <c r="B1525" s="143">
        <f t="shared" si="29"/>
        <v>0</v>
      </c>
      <c r="C1525" s="138" t="e">
        <f>TEXT(Таблица8[[#This Row],[Дата]],"М")</f>
        <v>#VALUE!</v>
      </c>
      <c r="D1525" s="144"/>
      <c r="E1525" s="143"/>
      <c r="F1525" s="143"/>
      <c r="G1525" s="147"/>
      <c r="H1525" s="146"/>
      <c r="I1525" s="142"/>
      <c r="J1525" s="142"/>
    </row>
    <row r="1526" spans="2:10" ht="14.25" x14ac:dyDescent="0.2">
      <c r="B1526" s="143">
        <f t="shared" si="29"/>
        <v>0</v>
      </c>
      <c r="C1526" s="138" t="e">
        <f>TEXT(Таблица8[[#This Row],[Дата]],"М")</f>
        <v>#VALUE!</v>
      </c>
      <c r="D1526" s="144"/>
      <c r="E1526" s="143"/>
      <c r="F1526" s="143"/>
      <c r="G1526" s="147"/>
      <c r="H1526" s="146"/>
      <c r="I1526" s="142"/>
      <c r="J1526" s="142"/>
    </row>
    <row r="1527" spans="2:10" ht="14.25" x14ac:dyDescent="0.2">
      <c r="B1527" s="143">
        <f t="shared" si="29"/>
        <v>0</v>
      </c>
      <c r="C1527" s="138" t="e">
        <f>TEXT(Таблица8[[#This Row],[Дата]],"М")</f>
        <v>#VALUE!</v>
      </c>
      <c r="D1527" s="144"/>
      <c r="E1527" s="143"/>
      <c r="F1527" s="143"/>
      <c r="G1527" s="147"/>
      <c r="H1527" s="146"/>
      <c r="I1527" s="142"/>
      <c r="J1527" s="142"/>
    </row>
    <row r="1528" spans="2:10" ht="14.25" x14ac:dyDescent="0.2">
      <c r="B1528" s="143">
        <f t="shared" ref="B1528:B1591" si="30">WEEKNUM(D1528)</f>
        <v>0</v>
      </c>
      <c r="C1528" s="138" t="e">
        <f>TEXT(Таблица8[[#This Row],[Дата]],"М")</f>
        <v>#VALUE!</v>
      </c>
      <c r="D1528" s="144"/>
      <c r="E1528" s="143"/>
      <c r="F1528" s="143"/>
      <c r="G1528" s="147"/>
      <c r="H1528" s="146"/>
      <c r="I1528" s="142"/>
      <c r="J1528" s="142"/>
    </row>
    <row r="1529" spans="2:10" ht="14.25" x14ac:dyDescent="0.2">
      <c r="B1529" s="143">
        <f t="shared" si="30"/>
        <v>0</v>
      </c>
      <c r="C1529" s="138" t="e">
        <f>TEXT(Таблица8[[#This Row],[Дата]],"М")</f>
        <v>#VALUE!</v>
      </c>
      <c r="D1529" s="144"/>
      <c r="E1529" s="143"/>
      <c r="F1529" s="143"/>
      <c r="G1529" s="147"/>
      <c r="H1529" s="146"/>
      <c r="I1529" s="142"/>
      <c r="J1529" s="142"/>
    </row>
    <row r="1530" spans="2:10" ht="14.25" x14ac:dyDescent="0.2">
      <c r="B1530" s="143">
        <f t="shared" si="30"/>
        <v>0</v>
      </c>
      <c r="C1530" s="138" t="e">
        <f>TEXT(Таблица8[[#This Row],[Дата]],"М")</f>
        <v>#VALUE!</v>
      </c>
      <c r="D1530" s="144"/>
      <c r="E1530" s="143"/>
      <c r="F1530" s="143"/>
      <c r="G1530" s="147"/>
      <c r="H1530" s="146"/>
      <c r="I1530" s="142"/>
      <c r="J1530" s="142"/>
    </row>
    <row r="1531" spans="2:10" ht="14.25" x14ac:dyDescent="0.2">
      <c r="B1531" s="143">
        <f t="shared" si="30"/>
        <v>0</v>
      </c>
      <c r="C1531" s="138" t="e">
        <f>TEXT(Таблица8[[#This Row],[Дата]],"М")</f>
        <v>#VALUE!</v>
      </c>
      <c r="D1531" s="144"/>
      <c r="E1531" s="143"/>
      <c r="F1531" s="143"/>
      <c r="G1531" s="147"/>
      <c r="H1531" s="146"/>
      <c r="I1531" s="142"/>
      <c r="J1531" s="142"/>
    </row>
    <row r="1532" spans="2:10" ht="14.25" x14ac:dyDescent="0.2">
      <c r="B1532" s="143">
        <f t="shared" si="30"/>
        <v>0</v>
      </c>
      <c r="C1532" s="138" t="e">
        <f>TEXT(Таблица8[[#This Row],[Дата]],"М")</f>
        <v>#VALUE!</v>
      </c>
      <c r="D1532" s="144"/>
      <c r="E1532" s="143"/>
      <c r="F1532" s="143"/>
      <c r="G1532" s="147"/>
      <c r="H1532" s="146"/>
      <c r="I1532" s="142"/>
      <c r="J1532" s="142"/>
    </row>
    <row r="1533" spans="2:10" ht="14.25" x14ac:dyDescent="0.2">
      <c r="B1533" s="143">
        <f t="shared" si="30"/>
        <v>0</v>
      </c>
      <c r="C1533" s="138" t="e">
        <f>TEXT(Таблица8[[#This Row],[Дата]],"М")</f>
        <v>#VALUE!</v>
      </c>
      <c r="D1533" s="144"/>
      <c r="E1533" s="143"/>
      <c r="F1533" s="143"/>
      <c r="G1533" s="147"/>
      <c r="H1533" s="146"/>
      <c r="I1533" s="142"/>
      <c r="J1533" s="142"/>
    </row>
    <row r="1534" spans="2:10" ht="14.25" x14ac:dyDescent="0.2">
      <c r="B1534" s="143">
        <f t="shared" si="30"/>
        <v>0</v>
      </c>
      <c r="C1534" s="138" t="e">
        <f>TEXT(Таблица8[[#This Row],[Дата]],"М")</f>
        <v>#VALUE!</v>
      </c>
      <c r="D1534" s="144"/>
      <c r="E1534" s="143"/>
      <c r="F1534" s="143"/>
      <c r="G1534" s="147"/>
      <c r="H1534" s="146"/>
      <c r="I1534" s="142"/>
      <c r="J1534" s="142"/>
    </row>
    <row r="1535" spans="2:10" ht="14.25" x14ac:dyDescent="0.2">
      <c r="B1535" s="143">
        <f t="shared" si="30"/>
        <v>0</v>
      </c>
      <c r="C1535" s="138" t="e">
        <f>TEXT(Таблица8[[#This Row],[Дата]],"М")</f>
        <v>#VALUE!</v>
      </c>
      <c r="D1535" s="144"/>
      <c r="E1535" s="143"/>
      <c r="F1535" s="143"/>
      <c r="G1535" s="147"/>
      <c r="H1535" s="146"/>
      <c r="I1535" s="142"/>
      <c r="J1535" s="142"/>
    </row>
    <row r="1536" spans="2:10" ht="14.25" x14ac:dyDescent="0.2">
      <c r="B1536" s="143">
        <f t="shared" si="30"/>
        <v>0</v>
      </c>
      <c r="C1536" s="138" t="e">
        <f>TEXT(Таблица8[[#This Row],[Дата]],"М")</f>
        <v>#VALUE!</v>
      </c>
      <c r="D1536" s="144"/>
      <c r="E1536" s="143"/>
      <c r="F1536" s="143"/>
      <c r="G1536" s="147"/>
      <c r="H1536" s="146"/>
      <c r="I1536" s="142"/>
      <c r="J1536" s="142"/>
    </row>
    <row r="1537" spans="2:10" ht="14.25" x14ac:dyDescent="0.2">
      <c r="B1537" s="143">
        <f t="shared" si="30"/>
        <v>0</v>
      </c>
      <c r="C1537" s="138" t="e">
        <f>TEXT(Таблица8[[#This Row],[Дата]],"М")</f>
        <v>#VALUE!</v>
      </c>
      <c r="D1537" s="144"/>
      <c r="E1537" s="143"/>
      <c r="F1537" s="143"/>
      <c r="G1537" s="147"/>
      <c r="H1537" s="146"/>
      <c r="I1537" s="142"/>
      <c r="J1537" s="142"/>
    </row>
    <row r="1538" spans="2:10" ht="14.25" x14ac:dyDescent="0.2">
      <c r="B1538" s="143">
        <f t="shared" si="30"/>
        <v>0</v>
      </c>
      <c r="C1538" s="138" t="e">
        <f>TEXT(Таблица8[[#This Row],[Дата]],"М")</f>
        <v>#VALUE!</v>
      </c>
      <c r="D1538" s="144"/>
      <c r="E1538" s="143"/>
      <c r="F1538" s="143"/>
      <c r="G1538" s="147"/>
      <c r="H1538" s="146"/>
      <c r="I1538" s="142"/>
      <c r="J1538" s="142"/>
    </row>
    <row r="1539" spans="2:10" ht="14.25" x14ac:dyDescent="0.2">
      <c r="B1539" s="143">
        <f t="shared" si="30"/>
        <v>0</v>
      </c>
      <c r="C1539" s="138" t="e">
        <f>TEXT(Таблица8[[#This Row],[Дата]],"М")</f>
        <v>#VALUE!</v>
      </c>
      <c r="D1539" s="144"/>
      <c r="E1539" s="143"/>
      <c r="F1539" s="143"/>
      <c r="G1539" s="147"/>
      <c r="H1539" s="146"/>
      <c r="I1539" s="142"/>
      <c r="J1539" s="142"/>
    </row>
    <row r="1540" spans="2:10" ht="14.25" x14ac:dyDescent="0.2">
      <c r="B1540" s="143">
        <f t="shared" si="30"/>
        <v>0</v>
      </c>
      <c r="C1540" s="138" t="e">
        <f>TEXT(Таблица8[[#This Row],[Дата]],"М")</f>
        <v>#VALUE!</v>
      </c>
      <c r="D1540" s="144"/>
      <c r="E1540" s="143"/>
      <c r="F1540" s="143"/>
      <c r="G1540" s="147"/>
      <c r="H1540" s="146"/>
      <c r="I1540" s="142"/>
      <c r="J1540" s="142"/>
    </row>
    <row r="1541" spans="2:10" ht="14.25" x14ac:dyDescent="0.2">
      <c r="B1541" s="143">
        <f t="shared" si="30"/>
        <v>0</v>
      </c>
      <c r="C1541" s="138" t="e">
        <f>TEXT(Таблица8[[#This Row],[Дата]],"М")</f>
        <v>#VALUE!</v>
      </c>
      <c r="D1541" s="144"/>
      <c r="E1541" s="143"/>
      <c r="F1541" s="143"/>
      <c r="G1541" s="147"/>
      <c r="H1541" s="146"/>
      <c r="I1541" s="142"/>
      <c r="J1541" s="142"/>
    </row>
    <row r="1542" spans="2:10" ht="14.25" x14ac:dyDescent="0.2">
      <c r="B1542" s="143">
        <f t="shared" si="30"/>
        <v>0</v>
      </c>
      <c r="C1542" s="138" t="e">
        <f>TEXT(Таблица8[[#This Row],[Дата]],"М")</f>
        <v>#VALUE!</v>
      </c>
      <c r="D1542" s="144"/>
      <c r="E1542" s="143"/>
      <c r="F1542" s="143"/>
      <c r="G1542" s="147"/>
      <c r="H1542" s="146"/>
      <c r="I1542" s="142"/>
      <c r="J1542" s="142"/>
    </row>
    <row r="1543" spans="2:10" ht="14.25" x14ac:dyDescent="0.2">
      <c r="B1543" s="143">
        <f t="shared" si="30"/>
        <v>0</v>
      </c>
      <c r="C1543" s="138" t="e">
        <f>TEXT(Таблица8[[#This Row],[Дата]],"М")</f>
        <v>#VALUE!</v>
      </c>
      <c r="D1543" s="144"/>
      <c r="E1543" s="143"/>
      <c r="F1543" s="143"/>
      <c r="G1543" s="147"/>
      <c r="H1543" s="146"/>
      <c r="I1543" s="142"/>
      <c r="J1543" s="142"/>
    </row>
    <row r="1544" spans="2:10" ht="14.25" x14ac:dyDescent="0.2">
      <c r="B1544" s="143">
        <f t="shared" si="30"/>
        <v>0</v>
      </c>
      <c r="C1544" s="138" t="e">
        <f>TEXT(Таблица8[[#This Row],[Дата]],"М")</f>
        <v>#VALUE!</v>
      </c>
      <c r="D1544" s="144"/>
      <c r="E1544" s="143"/>
      <c r="F1544" s="143"/>
      <c r="G1544" s="147"/>
      <c r="H1544" s="146"/>
      <c r="I1544" s="142"/>
      <c r="J1544" s="142"/>
    </row>
    <row r="1545" spans="2:10" ht="14.25" x14ac:dyDescent="0.2">
      <c r="B1545" s="143">
        <f t="shared" si="30"/>
        <v>0</v>
      </c>
      <c r="C1545" s="138" t="e">
        <f>TEXT(Таблица8[[#This Row],[Дата]],"М")</f>
        <v>#VALUE!</v>
      </c>
      <c r="D1545" s="144"/>
      <c r="E1545" s="143"/>
      <c r="F1545" s="143"/>
      <c r="G1545" s="147"/>
      <c r="H1545" s="146"/>
      <c r="I1545" s="142"/>
      <c r="J1545" s="142"/>
    </row>
    <row r="1546" spans="2:10" ht="14.25" x14ac:dyDescent="0.2">
      <c r="B1546" s="143">
        <f t="shared" si="30"/>
        <v>0</v>
      </c>
      <c r="C1546" s="138" t="e">
        <f>TEXT(Таблица8[[#This Row],[Дата]],"М")</f>
        <v>#VALUE!</v>
      </c>
      <c r="D1546" s="144"/>
      <c r="E1546" s="143"/>
      <c r="F1546" s="143"/>
      <c r="G1546" s="147"/>
      <c r="H1546" s="146"/>
      <c r="I1546" s="142"/>
      <c r="J1546" s="142"/>
    </row>
    <row r="1547" spans="2:10" ht="14.25" x14ac:dyDescent="0.2">
      <c r="B1547" s="143">
        <f t="shared" si="30"/>
        <v>0</v>
      </c>
      <c r="C1547" s="138" t="e">
        <f>TEXT(Таблица8[[#This Row],[Дата]],"М")</f>
        <v>#VALUE!</v>
      </c>
      <c r="D1547" s="144"/>
      <c r="E1547" s="143"/>
      <c r="F1547" s="143"/>
      <c r="G1547" s="147"/>
      <c r="H1547" s="146"/>
      <c r="I1547" s="142"/>
      <c r="J1547" s="142"/>
    </row>
    <row r="1548" spans="2:10" ht="14.25" x14ac:dyDescent="0.2">
      <c r="B1548" s="143">
        <f t="shared" si="30"/>
        <v>0</v>
      </c>
      <c r="C1548" s="138"/>
      <c r="D1548" s="144"/>
      <c r="E1548" s="143"/>
      <c r="F1548" s="143"/>
      <c r="G1548" s="147"/>
      <c r="H1548" s="146"/>
      <c r="I1548" s="142"/>
      <c r="J1548" s="142"/>
    </row>
    <row r="1549" spans="2:10" ht="14.25" x14ac:dyDescent="0.2">
      <c r="B1549" s="143">
        <f t="shared" si="30"/>
        <v>0</v>
      </c>
      <c r="C1549" s="138"/>
      <c r="D1549" s="144"/>
      <c r="E1549" s="143"/>
      <c r="F1549" s="143"/>
      <c r="G1549" s="147"/>
      <c r="H1549" s="146"/>
      <c r="I1549" s="142"/>
      <c r="J1549" s="142"/>
    </row>
    <row r="1550" spans="2:10" ht="14.25" x14ac:dyDescent="0.2">
      <c r="B1550" s="143">
        <f t="shared" si="30"/>
        <v>0</v>
      </c>
      <c r="C1550" s="138"/>
      <c r="D1550" s="144"/>
      <c r="E1550" s="143"/>
      <c r="F1550" s="143"/>
      <c r="G1550" s="147"/>
      <c r="H1550" s="146"/>
      <c r="I1550" s="142"/>
      <c r="J1550" s="142"/>
    </row>
    <row r="1551" spans="2:10" ht="14.25" x14ac:dyDescent="0.2">
      <c r="B1551" s="143">
        <f t="shared" si="30"/>
        <v>0</v>
      </c>
      <c r="C1551" s="138"/>
      <c r="D1551" s="144"/>
      <c r="E1551" s="143"/>
      <c r="F1551" s="143"/>
      <c r="G1551" s="147"/>
      <c r="H1551" s="146"/>
      <c r="I1551" s="142"/>
      <c r="J1551" s="142"/>
    </row>
    <row r="1552" spans="2:10" ht="14.25" x14ac:dyDescent="0.2">
      <c r="B1552" s="143">
        <f t="shared" si="30"/>
        <v>0</v>
      </c>
      <c r="C1552" s="138"/>
      <c r="D1552" s="144"/>
      <c r="E1552" s="143"/>
      <c r="F1552" s="143"/>
      <c r="G1552" s="147"/>
      <c r="H1552" s="146"/>
      <c r="I1552" s="142"/>
      <c r="J1552" s="142"/>
    </row>
    <row r="1553" spans="2:10" ht="14.25" x14ac:dyDescent="0.2">
      <c r="B1553" s="143">
        <f t="shared" si="30"/>
        <v>0</v>
      </c>
      <c r="C1553" s="138"/>
      <c r="D1553" s="144"/>
      <c r="E1553" s="143"/>
      <c r="F1553" s="143"/>
      <c r="G1553" s="147"/>
      <c r="H1553" s="146"/>
      <c r="I1553" s="142"/>
      <c r="J1553" s="142"/>
    </row>
    <row r="1554" spans="2:10" ht="14.25" x14ac:dyDescent="0.2">
      <c r="B1554" s="143">
        <f t="shared" si="30"/>
        <v>0</v>
      </c>
      <c r="C1554" s="138"/>
      <c r="D1554" s="144"/>
      <c r="E1554" s="143"/>
      <c r="F1554" s="143"/>
      <c r="G1554" s="147"/>
      <c r="H1554" s="146"/>
      <c r="I1554" s="142"/>
      <c r="J1554" s="142"/>
    </row>
    <row r="1555" spans="2:10" ht="14.25" x14ac:dyDescent="0.2">
      <c r="B1555" s="143">
        <f t="shared" si="30"/>
        <v>0</v>
      </c>
      <c r="C1555" s="138"/>
      <c r="D1555" s="144"/>
      <c r="E1555" s="143"/>
      <c r="F1555" s="143"/>
      <c r="G1555" s="147"/>
      <c r="H1555" s="146"/>
      <c r="I1555" s="142"/>
      <c r="J1555" s="142"/>
    </row>
    <row r="1556" spans="2:10" ht="14.25" x14ac:dyDescent="0.2">
      <c r="B1556" s="143">
        <f t="shared" si="30"/>
        <v>0</v>
      </c>
      <c r="C1556" s="138"/>
      <c r="D1556" s="144"/>
      <c r="E1556" s="143"/>
      <c r="F1556" s="143"/>
      <c r="G1556" s="147"/>
      <c r="H1556" s="146"/>
      <c r="I1556" s="142"/>
      <c r="J1556" s="142"/>
    </row>
    <row r="1557" spans="2:10" ht="14.25" x14ac:dyDescent="0.2">
      <c r="B1557" s="143">
        <f t="shared" si="30"/>
        <v>0</v>
      </c>
      <c r="C1557" s="138"/>
      <c r="D1557" s="144"/>
      <c r="E1557" s="143"/>
      <c r="F1557" s="143"/>
      <c r="G1557" s="147"/>
      <c r="H1557" s="146"/>
      <c r="I1557" s="142"/>
      <c r="J1557" s="142"/>
    </row>
    <row r="1558" spans="2:10" ht="14.25" x14ac:dyDescent="0.2">
      <c r="B1558" s="143">
        <f t="shared" si="30"/>
        <v>0</v>
      </c>
      <c r="C1558" s="138"/>
      <c r="D1558" s="144"/>
      <c r="E1558" s="143"/>
      <c r="F1558" s="143"/>
      <c r="G1558" s="147"/>
      <c r="H1558" s="146"/>
      <c r="I1558" s="142"/>
      <c r="J1558" s="142"/>
    </row>
    <row r="1559" spans="2:10" ht="14.25" x14ac:dyDescent="0.2">
      <c r="B1559" s="143">
        <f t="shared" si="30"/>
        <v>0</v>
      </c>
      <c r="C1559" s="138"/>
      <c r="D1559" s="144"/>
      <c r="E1559" s="143"/>
      <c r="F1559" s="143"/>
      <c r="G1559" s="147"/>
      <c r="H1559" s="146"/>
      <c r="I1559" s="142"/>
      <c r="J1559" s="142"/>
    </row>
    <row r="1560" spans="2:10" ht="14.25" x14ac:dyDescent="0.2">
      <c r="B1560" s="143">
        <f t="shared" si="30"/>
        <v>0</v>
      </c>
      <c r="C1560" s="138"/>
      <c r="D1560" s="144"/>
      <c r="E1560" s="143"/>
      <c r="F1560" s="143"/>
      <c r="G1560" s="147"/>
      <c r="H1560" s="146"/>
      <c r="I1560" s="142"/>
      <c r="J1560" s="142"/>
    </row>
    <row r="1561" spans="2:10" ht="14.25" x14ac:dyDescent="0.2">
      <c r="B1561" s="143">
        <f t="shared" si="30"/>
        <v>0</v>
      </c>
      <c r="C1561" s="138"/>
      <c r="D1561" s="144"/>
      <c r="E1561" s="143"/>
      <c r="F1561" s="143"/>
      <c r="G1561" s="147"/>
      <c r="H1561" s="146"/>
      <c r="I1561" s="142"/>
      <c r="J1561" s="142"/>
    </row>
    <row r="1562" spans="2:10" ht="14.25" x14ac:dyDescent="0.2">
      <c r="B1562" s="143">
        <f t="shared" si="30"/>
        <v>0</v>
      </c>
      <c r="C1562" s="138"/>
      <c r="D1562" s="144"/>
      <c r="E1562" s="143"/>
      <c r="F1562" s="143"/>
      <c r="G1562" s="147"/>
      <c r="H1562" s="146"/>
      <c r="I1562" s="142"/>
      <c r="J1562" s="142"/>
    </row>
    <row r="1563" spans="2:10" ht="14.25" x14ac:dyDescent="0.2">
      <c r="B1563" s="143">
        <f t="shared" si="30"/>
        <v>0</v>
      </c>
      <c r="C1563" s="138"/>
      <c r="D1563" s="144"/>
      <c r="E1563" s="143"/>
      <c r="F1563" s="143"/>
      <c r="G1563" s="147"/>
      <c r="H1563" s="146"/>
      <c r="I1563" s="142"/>
      <c r="J1563" s="142"/>
    </row>
    <row r="1564" spans="2:10" ht="14.25" x14ac:dyDescent="0.2">
      <c r="B1564" s="143">
        <f t="shared" si="30"/>
        <v>0</v>
      </c>
      <c r="C1564" s="138"/>
      <c r="D1564" s="144"/>
      <c r="E1564" s="143"/>
      <c r="F1564" s="143"/>
      <c r="G1564" s="147"/>
      <c r="H1564" s="146"/>
      <c r="I1564" s="142"/>
      <c r="J1564" s="142"/>
    </row>
    <row r="1565" spans="2:10" ht="14.25" x14ac:dyDescent="0.2">
      <c r="B1565" s="143">
        <f t="shared" si="30"/>
        <v>0</v>
      </c>
      <c r="C1565" s="138"/>
      <c r="D1565" s="144"/>
      <c r="E1565" s="143"/>
      <c r="F1565" s="143"/>
      <c r="G1565" s="147"/>
      <c r="H1565" s="146"/>
      <c r="I1565" s="142"/>
      <c r="J1565" s="142"/>
    </row>
    <row r="1566" spans="2:10" ht="14.25" x14ac:dyDescent="0.2">
      <c r="B1566" s="143">
        <f t="shared" si="30"/>
        <v>0</v>
      </c>
      <c r="C1566" s="138"/>
      <c r="D1566" s="144"/>
      <c r="E1566" s="143"/>
      <c r="F1566" s="143"/>
      <c r="G1566" s="147"/>
      <c r="H1566" s="146"/>
      <c r="I1566" s="142"/>
      <c r="J1566" s="142"/>
    </row>
    <row r="1567" spans="2:10" ht="14.25" x14ac:dyDescent="0.2">
      <c r="B1567" s="143">
        <f t="shared" si="30"/>
        <v>0</v>
      </c>
      <c r="C1567" s="138"/>
      <c r="D1567" s="144"/>
      <c r="E1567" s="143"/>
      <c r="F1567" s="143"/>
      <c r="G1567" s="147"/>
      <c r="H1567" s="146"/>
      <c r="I1567" s="142"/>
      <c r="J1567" s="142"/>
    </row>
    <row r="1568" spans="2:10" ht="14.25" x14ac:dyDescent="0.2">
      <c r="B1568" s="143">
        <f t="shared" si="30"/>
        <v>0</v>
      </c>
      <c r="C1568" s="138"/>
      <c r="D1568" s="144"/>
      <c r="E1568" s="143"/>
      <c r="F1568" s="143"/>
      <c r="G1568" s="147"/>
      <c r="H1568" s="146"/>
      <c r="I1568" s="142"/>
      <c r="J1568" s="142"/>
    </row>
    <row r="1569" spans="2:10" ht="14.25" x14ac:dyDescent="0.2">
      <c r="B1569" s="143">
        <f t="shared" si="30"/>
        <v>0</v>
      </c>
      <c r="C1569" s="138"/>
      <c r="D1569" s="144"/>
      <c r="E1569" s="143"/>
      <c r="F1569" s="143"/>
      <c r="G1569" s="147"/>
      <c r="H1569" s="146"/>
      <c r="I1569" s="142"/>
      <c r="J1569" s="142"/>
    </row>
    <row r="1570" spans="2:10" ht="14.25" x14ac:dyDescent="0.2">
      <c r="B1570" s="143">
        <f t="shared" si="30"/>
        <v>0</v>
      </c>
      <c r="C1570" s="138"/>
      <c r="D1570" s="144"/>
      <c r="E1570" s="143"/>
      <c r="F1570" s="143"/>
      <c r="G1570" s="147"/>
      <c r="H1570" s="146"/>
      <c r="I1570" s="142"/>
      <c r="J1570" s="142"/>
    </row>
    <row r="1571" spans="2:10" ht="14.25" x14ac:dyDescent="0.2">
      <c r="B1571" s="143">
        <f t="shared" si="30"/>
        <v>0</v>
      </c>
      <c r="C1571" s="138"/>
      <c r="D1571" s="144"/>
      <c r="E1571" s="143"/>
      <c r="F1571" s="143"/>
      <c r="G1571" s="147"/>
      <c r="H1571" s="146"/>
      <c r="I1571" s="142"/>
      <c r="J1571" s="142"/>
    </row>
    <row r="1572" spans="2:10" ht="14.25" x14ac:dyDescent="0.2">
      <c r="B1572" s="143">
        <f t="shared" si="30"/>
        <v>0</v>
      </c>
      <c r="C1572" s="138"/>
      <c r="D1572" s="144"/>
      <c r="E1572" s="143"/>
      <c r="F1572" s="143"/>
      <c r="G1572" s="147"/>
      <c r="H1572" s="146"/>
      <c r="I1572" s="142"/>
      <c r="J1572" s="142"/>
    </row>
    <row r="1573" spans="2:10" ht="14.25" x14ac:dyDescent="0.2">
      <c r="B1573" s="143">
        <f t="shared" si="30"/>
        <v>0</v>
      </c>
      <c r="C1573" s="138"/>
      <c r="D1573" s="144"/>
      <c r="E1573" s="143"/>
      <c r="F1573" s="143"/>
      <c r="G1573" s="147"/>
      <c r="H1573" s="146"/>
      <c r="I1573" s="142"/>
      <c r="J1573" s="142"/>
    </row>
    <row r="1574" spans="2:10" ht="14.25" x14ac:dyDescent="0.2">
      <c r="B1574" s="143">
        <f t="shared" si="30"/>
        <v>0</v>
      </c>
      <c r="C1574" s="138"/>
      <c r="D1574" s="144"/>
      <c r="E1574" s="143"/>
      <c r="F1574" s="143"/>
      <c r="G1574" s="147"/>
      <c r="H1574" s="146"/>
      <c r="I1574" s="142"/>
      <c r="J1574" s="142"/>
    </row>
    <row r="1575" spans="2:10" ht="14.25" x14ac:dyDescent="0.2">
      <c r="B1575" s="143">
        <f t="shared" si="30"/>
        <v>0</v>
      </c>
      <c r="C1575" s="138"/>
      <c r="D1575" s="144"/>
      <c r="E1575" s="143"/>
      <c r="F1575" s="143"/>
      <c r="G1575" s="147"/>
      <c r="H1575" s="146"/>
      <c r="I1575" s="142"/>
      <c r="J1575" s="142"/>
    </row>
    <row r="1576" spans="2:10" ht="14.25" x14ac:dyDescent="0.2">
      <c r="B1576" s="143">
        <f t="shared" si="30"/>
        <v>0</v>
      </c>
      <c r="C1576" s="138"/>
      <c r="D1576" s="144"/>
      <c r="E1576" s="143"/>
      <c r="F1576" s="143"/>
      <c r="G1576" s="147"/>
      <c r="H1576" s="146"/>
      <c r="I1576" s="142"/>
      <c r="J1576" s="142"/>
    </row>
    <row r="1577" spans="2:10" ht="14.25" x14ac:dyDescent="0.2">
      <c r="B1577" s="143">
        <f t="shared" si="30"/>
        <v>0</v>
      </c>
      <c r="C1577" s="138"/>
      <c r="D1577" s="144"/>
      <c r="E1577" s="143"/>
      <c r="F1577" s="143"/>
      <c r="G1577" s="147"/>
      <c r="H1577" s="146"/>
      <c r="I1577" s="142"/>
      <c r="J1577" s="142"/>
    </row>
    <row r="1578" spans="2:10" ht="14.25" x14ac:dyDescent="0.2">
      <c r="B1578" s="143">
        <f t="shared" si="30"/>
        <v>0</v>
      </c>
      <c r="C1578" s="138"/>
      <c r="D1578" s="144"/>
      <c r="E1578" s="143"/>
      <c r="F1578" s="143"/>
      <c r="G1578" s="147"/>
      <c r="H1578" s="146"/>
      <c r="I1578" s="142"/>
      <c r="J1578" s="142"/>
    </row>
    <row r="1579" spans="2:10" ht="14.25" x14ac:dyDescent="0.2">
      <c r="B1579" s="143">
        <f t="shared" si="30"/>
        <v>0</v>
      </c>
      <c r="C1579" s="138"/>
      <c r="D1579" s="144"/>
      <c r="E1579" s="143"/>
      <c r="F1579" s="143"/>
      <c r="G1579" s="147"/>
      <c r="H1579" s="146"/>
      <c r="I1579" s="142"/>
      <c r="J1579" s="142"/>
    </row>
    <row r="1580" spans="2:10" ht="14.25" x14ac:dyDescent="0.2">
      <c r="B1580" s="143">
        <f t="shared" si="30"/>
        <v>0</v>
      </c>
      <c r="C1580" s="138"/>
      <c r="D1580" s="144"/>
      <c r="E1580" s="143"/>
      <c r="F1580" s="143"/>
      <c r="G1580" s="147"/>
      <c r="H1580" s="146"/>
      <c r="I1580" s="142"/>
      <c r="J1580" s="142"/>
    </row>
    <row r="1581" spans="2:10" ht="14.25" x14ac:dyDescent="0.2">
      <c r="B1581" s="143">
        <f t="shared" si="30"/>
        <v>0</v>
      </c>
      <c r="C1581" s="138"/>
      <c r="D1581" s="144"/>
      <c r="E1581" s="143"/>
      <c r="F1581" s="143"/>
      <c r="G1581" s="147"/>
      <c r="H1581" s="146"/>
      <c r="I1581" s="142"/>
      <c r="J1581" s="142"/>
    </row>
    <row r="1582" spans="2:10" ht="14.25" x14ac:dyDescent="0.2">
      <c r="B1582" s="143">
        <f t="shared" si="30"/>
        <v>0</v>
      </c>
      <c r="C1582" s="138"/>
      <c r="D1582" s="144"/>
      <c r="E1582" s="143"/>
      <c r="F1582" s="143"/>
      <c r="G1582" s="147"/>
      <c r="H1582" s="146"/>
      <c r="I1582" s="142"/>
      <c r="J1582" s="142"/>
    </row>
    <row r="1583" spans="2:10" ht="14.25" x14ac:dyDescent="0.2">
      <c r="B1583" s="143">
        <f t="shared" si="30"/>
        <v>0</v>
      </c>
      <c r="C1583" s="138"/>
      <c r="D1583" s="144"/>
      <c r="E1583" s="143"/>
      <c r="F1583" s="143"/>
      <c r="G1583" s="147"/>
      <c r="H1583" s="146"/>
      <c r="I1583" s="142"/>
      <c r="J1583" s="142"/>
    </row>
    <row r="1584" spans="2:10" ht="14.25" x14ac:dyDescent="0.2">
      <c r="B1584" s="143">
        <f t="shared" si="30"/>
        <v>0</v>
      </c>
      <c r="C1584" s="138"/>
      <c r="D1584" s="144"/>
      <c r="E1584" s="143"/>
      <c r="F1584" s="143"/>
      <c r="G1584" s="147"/>
      <c r="H1584" s="146"/>
      <c r="I1584" s="142"/>
      <c r="J1584" s="142"/>
    </row>
    <row r="1585" spans="2:10" ht="14.25" x14ac:dyDescent="0.2">
      <c r="B1585" s="143">
        <f t="shared" si="30"/>
        <v>0</v>
      </c>
      <c r="C1585" s="138"/>
      <c r="D1585" s="144"/>
      <c r="E1585" s="143"/>
      <c r="F1585" s="143"/>
      <c r="G1585" s="147"/>
      <c r="H1585" s="146"/>
      <c r="I1585" s="142"/>
      <c r="J1585" s="142"/>
    </row>
    <row r="1586" spans="2:10" ht="14.25" x14ac:dyDescent="0.2">
      <c r="B1586" s="143">
        <f t="shared" si="30"/>
        <v>0</v>
      </c>
      <c r="C1586" s="138"/>
      <c r="D1586" s="144"/>
      <c r="E1586" s="143"/>
      <c r="F1586" s="143"/>
      <c r="G1586" s="147"/>
      <c r="H1586" s="146"/>
      <c r="I1586" s="142"/>
      <c r="J1586" s="142"/>
    </row>
    <row r="1587" spans="2:10" ht="14.25" x14ac:dyDescent="0.2">
      <c r="B1587" s="143">
        <f t="shared" si="30"/>
        <v>0</v>
      </c>
      <c r="C1587" s="138"/>
      <c r="D1587" s="144"/>
      <c r="E1587" s="143"/>
      <c r="F1587" s="143"/>
      <c r="G1587" s="147"/>
      <c r="H1587" s="146"/>
      <c r="I1587" s="142"/>
      <c r="J1587" s="142"/>
    </row>
    <row r="1588" spans="2:10" ht="14.25" x14ac:dyDescent="0.2">
      <c r="B1588" s="143">
        <f t="shared" si="30"/>
        <v>0</v>
      </c>
      <c r="C1588" s="138"/>
      <c r="D1588" s="144"/>
      <c r="E1588" s="143"/>
      <c r="F1588" s="143"/>
      <c r="G1588" s="147"/>
      <c r="H1588" s="146"/>
      <c r="I1588" s="142"/>
      <c r="J1588" s="142"/>
    </row>
    <row r="1589" spans="2:10" ht="14.25" x14ac:dyDescent="0.2">
      <c r="B1589" s="143">
        <f t="shared" si="30"/>
        <v>0</v>
      </c>
      <c r="C1589" s="138"/>
      <c r="D1589" s="144"/>
      <c r="E1589" s="143"/>
      <c r="F1589" s="143"/>
      <c r="G1589" s="147"/>
      <c r="H1589" s="146"/>
      <c r="I1589" s="142"/>
      <c r="J1589" s="142"/>
    </row>
    <row r="1590" spans="2:10" ht="14.25" x14ac:dyDescent="0.2">
      <c r="B1590" s="143">
        <f t="shared" si="30"/>
        <v>0</v>
      </c>
      <c r="C1590" s="138"/>
      <c r="D1590" s="144"/>
      <c r="E1590" s="143"/>
      <c r="F1590" s="143"/>
      <c r="G1590" s="147"/>
      <c r="H1590" s="146"/>
      <c r="I1590" s="142"/>
      <c r="J1590" s="142"/>
    </row>
    <row r="1591" spans="2:10" ht="14.25" x14ac:dyDescent="0.2">
      <c r="B1591" s="143">
        <f t="shared" si="30"/>
        <v>0</v>
      </c>
      <c r="C1591" s="138"/>
      <c r="D1591" s="144"/>
      <c r="E1591" s="143"/>
      <c r="F1591" s="143"/>
      <c r="G1591" s="147"/>
      <c r="H1591" s="146"/>
      <c r="I1591" s="142"/>
      <c r="J1591" s="142"/>
    </row>
    <row r="1592" spans="2:10" ht="14.25" x14ac:dyDescent="0.2">
      <c r="B1592" s="143">
        <f t="shared" ref="B1592:B1655" si="31">WEEKNUM(D1592)</f>
        <v>0</v>
      </c>
      <c r="C1592" s="138"/>
      <c r="D1592" s="144"/>
      <c r="E1592" s="143"/>
      <c r="F1592" s="143"/>
      <c r="G1592" s="147"/>
      <c r="H1592" s="146"/>
      <c r="I1592" s="142"/>
      <c r="J1592" s="142"/>
    </row>
    <row r="1593" spans="2:10" ht="14.25" x14ac:dyDescent="0.2">
      <c r="B1593" s="143">
        <f t="shared" si="31"/>
        <v>0</v>
      </c>
      <c r="C1593" s="138"/>
      <c r="D1593" s="144"/>
      <c r="E1593" s="143"/>
      <c r="F1593" s="143"/>
      <c r="G1593" s="147"/>
      <c r="H1593" s="146"/>
      <c r="I1593" s="142"/>
      <c r="J1593" s="142"/>
    </row>
    <row r="1594" spans="2:10" ht="14.25" x14ac:dyDescent="0.2">
      <c r="B1594" s="143">
        <f t="shared" si="31"/>
        <v>0</v>
      </c>
      <c r="C1594" s="138"/>
      <c r="D1594" s="144"/>
      <c r="E1594" s="143"/>
      <c r="F1594" s="143"/>
      <c r="G1594" s="147"/>
      <c r="H1594" s="146"/>
      <c r="I1594" s="142"/>
      <c r="J1594" s="142"/>
    </row>
    <row r="1595" spans="2:10" ht="14.25" x14ac:dyDescent="0.2">
      <c r="B1595" s="143">
        <f t="shared" si="31"/>
        <v>0</v>
      </c>
      <c r="C1595" s="138"/>
      <c r="D1595" s="144"/>
      <c r="E1595" s="143"/>
      <c r="F1595" s="143"/>
      <c r="G1595" s="147"/>
      <c r="H1595" s="146"/>
      <c r="I1595" s="142"/>
      <c r="J1595" s="142"/>
    </row>
    <row r="1596" spans="2:10" ht="14.25" x14ac:dyDescent="0.2">
      <c r="B1596" s="143">
        <f t="shared" si="31"/>
        <v>0</v>
      </c>
      <c r="C1596" s="138"/>
      <c r="D1596" s="144"/>
      <c r="E1596" s="143"/>
      <c r="F1596" s="143"/>
      <c r="G1596" s="147"/>
      <c r="H1596" s="146"/>
      <c r="I1596" s="142"/>
      <c r="J1596" s="142"/>
    </row>
    <row r="1597" spans="2:10" ht="14.25" x14ac:dyDescent="0.2">
      <c r="B1597" s="143">
        <f t="shared" si="31"/>
        <v>0</v>
      </c>
      <c r="C1597" s="138"/>
      <c r="D1597" s="144"/>
      <c r="E1597" s="143"/>
      <c r="F1597" s="143"/>
      <c r="G1597" s="147"/>
      <c r="H1597" s="146"/>
      <c r="I1597" s="142"/>
      <c r="J1597" s="142"/>
    </row>
    <row r="1598" spans="2:10" ht="14.25" x14ac:dyDescent="0.2">
      <c r="B1598" s="143">
        <f t="shared" si="31"/>
        <v>0</v>
      </c>
      <c r="C1598" s="138"/>
      <c r="D1598" s="144"/>
      <c r="E1598" s="143"/>
      <c r="F1598" s="143"/>
      <c r="G1598" s="147"/>
      <c r="H1598" s="146"/>
      <c r="I1598" s="142"/>
      <c r="J1598" s="142"/>
    </row>
    <row r="1599" spans="2:10" ht="14.25" x14ac:dyDescent="0.2">
      <c r="B1599" s="143">
        <f t="shared" si="31"/>
        <v>0</v>
      </c>
      <c r="C1599" s="138"/>
      <c r="D1599" s="144"/>
      <c r="E1599" s="143"/>
      <c r="F1599" s="143"/>
      <c r="G1599" s="147"/>
      <c r="H1599" s="146"/>
      <c r="I1599" s="142"/>
      <c r="J1599" s="142"/>
    </row>
    <row r="1600" spans="2:10" ht="14.25" x14ac:dyDescent="0.2">
      <c r="B1600" s="143">
        <f t="shared" si="31"/>
        <v>0</v>
      </c>
      <c r="C1600" s="138"/>
      <c r="D1600" s="144"/>
      <c r="E1600" s="143"/>
      <c r="F1600" s="143"/>
      <c r="G1600" s="147"/>
      <c r="H1600" s="146"/>
      <c r="I1600" s="142"/>
      <c r="J1600" s="142"/>
    </row>
    <row r="1601" spans="2:10" ht="14.25" x14ac:dyDescent="0.2">
      <c r="B1601" s="143">
        <f t="shared" si="31"/>
        <v>0</v>
      </c>
      <c r="C1601" s="138"/>
      <c r="D1601" s="144"/>
      <c r="E1601" s="143"/>
      <c r="F1601" s="143"/>
      <c r="G1601" s="147"/>
      <c r="H1601" s="146"/>
      <c r="I1601" s="142"/>
      <c r="J1601" s="142"/>
    </row>
    <row r="1602" spans="2:10" ht="14.25" x14ac:dyDescent="0.2">
      <c r="B1602" s="143">
        <f t="shared" si="31"/>
        <v>0</v>
      </c>
      <c r="C1602" s="138"/>
      <c r="D1602" s="144"/>
      <c r="E1602" s="143"/>
      <c r="F1602" s="143"/>
      <c r="G1602" s="147"/>
      <c r="H1602" s="146"/>
      <c r="I1602" s="142"/>
      <c r="J1602" s="142"/>
    </row>
    <row r="1603" spans="2:10" ht="14.25" x14ac:dyDescent="0.2">
      <c r="B1603" s="143">
        <f t="shared" si="31"/>
        <v>0</v>
      </c>
      <c r="C1603" s="138"/>
      <c r="D1603" s="144"/>
      <c r="E1603" s="143"/>
      <c r="F1603" s="143"/>
      <c r="G1603" s="147"/>
      <c r="H1603" s="146"/>
      <c r="I1603" s="142"/>
      <c r="J1603" s="142"/>
    </row>
    <row r="1604" spans="2:10" ht="14.25" x14ac:dyDescent="0.2">
      <c r="B1604" s="143">
        <f t="shared" si="31"/>
        <v>0</v>
      </c>
      <c r="C1604" s="138"/>
      <c r="D1604" s="144"/>
      <c r="E1604" s="143"/>
      <c r="F1604" s="143"/>
      <c r="G1604" s="147"/>
      <c r="H1604" s="146"/>
      <c r="I1604" s="142"/>
      <c r="J1604" s="142"/>
    </row>
    <row r="1605" spans="2:10" ht="14.25" x14ac:dyDescent="0.2">
      <c r="B1605" s="143">
        <f t="shared" si="31"/>
        <v>0</v>
      </c>
      <c r="C1605" s="138"/>
      <c r="D1605" s="144"/>
      <c r="E1605" s="143"/>
      <c r="F1605" s="143"/>
      <c r="G1605" s="147"/>
      <c r="H1605" s="146"/>
      <c r="I1605" s="142"/>
      <c r="J1605" s="142"/>
    </row>
    <row r="1606" spans="2:10" ht="14.25" x14ac:dyDescent="0.2">
      <c r="B1606" s="143">
        <f t="shared" si="31"/>
        <v>0</v>
      </c>
      <c r="C1606" s="138"/>
      <c r="D1606" s="144"/>
      <c r="E1606" s="143"/>
      <c r="F1606" s="143"/>
      <c r="G1606" s="147"/>
      <c r="H1606" s="146"/>
      <c r="I1606" s="142"/>
      <c r="J1606" s="142"/>
    </row>
    <row r="1607" spans="2:10" ht="14.25" x14ac:dyDescent="0.2">
      <c r="B1607" s="143">
        <f t="shared" si="31"/>
        <v>0</v>
      </c>
      <c r="C1607" s="138"/>
      <c r="D1607" s="144"/>
      <c r="E1607" s="143"/>
      <c r="F1607" s="143"/>
      <c r="G1607" s="147"/>
      <c r="H1607" s="146"/>
      <c r="I1607" s="142"/>
      <c r="J1607" s="142"/>
    </row>
    <row r="1608" spans="2:10" ht="14.25" x14ac:dyDescent="0.2">
      <c r="B1608" s="143">
        <f t="shared" si="31"/>
        <v>0</v>
      </c>
      <c r="C1608" s="138"/>
      <c r="D1608" s="144"/>
      <c r="E1608" s="143"/>
      <c r="F1608" s="143"/>
      <c r="G1608" s="147"/>
      <c r="H1608" s="146"/>
      <c r="I1608" s="142"/>
      <c r="J1608" s="142"/>
    </row>
    <row r="1609" spans="2:10" ht="14.25" x14ac:dyDescent="0.2">
      <c r="B1609" s="143">
        <f t="shared" si="31"/>
        <v>0</v>
      </c>
      <c r="C1609" s="138"/>
      <c r="D1609" s="144"/>
      <c r="E1609" s="143"/>
      <c r="F1609" s="143"/>
      <c r="G1609" s="147"/>
      <c r="H1609" s="146"/>
      <c r="I1609" s="142"/>
      <c r="J1609" s="142"/>
    </row>
    <row r="1610" spans="2:10" ht="14.25" x14ac:dyDescent="0.2">
      <c r="B1610" s="143">
        <f t="shared" si="31"/>
        <v>0</v>
      </c>
      <c r="C1610" s="138"/>
      <c r="D1610" s="144"/>
      <c r="E1610" s="143"/>
      <c r="F1610" s="143"/>
      <c r="G1610" s="147"/>
      <c r="H1610" s="146"/>
      <c r="I1610" s="142"/>
      <c r="J1610" s="142"/>
    </row>
    <row r="1611" spans="2:10" ht="14.25" x14ac:dyDescent="0.2">
      <c r="B1611" s="143">
        <f t="shared" si="31"/>
        <v>0</v>
      </c>
      <c r="C1611" s="138"/>
      <c r="D1611" s="144"/>
      <c r="E1611" s="143"/>
      <c r="F1611" s="143"/>
      <c r="G1611" s="147"/>
      <c r="H1611" s="146"/>
      <c r="I1611" s="142"/>
      <c r="J1611" s="142"/>
    </row>
    <row r="1612" spans="2:10" ht="14.25" x14ac:dyDescent="0.2">
      <c r="B1612" s="143">
        <f t="shared" si="31"/>
        <v>0</v>
      </c>
      <c r="C1612" s="138"/>
      <c r="D1612" s="144"/>
      <c r="E1612" s="143"/>
      <c r="F1612" s="143"/>
      <c r="G1612" s="147"/>
      <c r="H1612" s="146"/>
      <c r="I1612" s="142"/>
      <c r="J1612" s="142"/>
    </row>
    <row r="1613" spans="2:10" ht="14.25" x14ac:dyDescent="0.2">
      <c r="B1613" s="143">
        <f t="shared" si="31"/>
        <v>0</v>
      </c>
      <c r="C1613" s="138"/>
      <c r="D1613" s="144"/>
      <c r="E1613" s="143"/>
      <c r="F1613" s="143"/>
      <c r="G1613" s="147"/>
      <c r="H1613" s="146"/>
      <c r="I1613" s="142"/>
      <c r="J1613" s="142"/>
    </row>
    <row r="1614" spans="2:10" ht="14.25" x14ac:dyDescent="0.2">
      <c r="B1614" s="143">
        <f t="shared" si="31"/>
        <v>0</v>
      </c>
      <c r="C1614" s="138"/>
      <c r="D1614" s="144"/>
      <c r="E1614" s="143"/>
      <c r="F1614" s="143"/>
      <c r="G1614" s="147"/>
      <c r="H1614" s="146"/>
      <c r="I1614" s="142"/>
      <c r="J1614" s="142"/>
    </row>
    <row r="1615" spans="2:10" ht="14.25" x14ac:dyDescent="0.2">
      <c r="B1615" s="143">
        <f t="shared" si="31"/>
        <v>0</v>
      </c>
      <c r="C1615" s="138"/>
      <c r="D1615" s="144"/>
      <c r="E1615" s="143"/>
      <c r="F1615" s="143"/>
      <c r="G1615" s="147"/>
      <c r="H1615" s="146"/>
      <c r="I1615" s="142"/>
      <c r="J1615" s="142"/>
    </row>
    <row r="1616" spans="2:10" ht="14.25" x14ac:dyDescent="0.2">
      <c r="B1616" s="143">
        <f t="shared" si="31"/>
        <v>0</v>
      </c>
      <c r="C1616" s="138"/>
      <c r="D1616" s="144"/>
      <c r="E1616" s="143"/>
      <c r="F1616" s="143"/>
      <c r="G1616" s="147"/>
      <c r="H1616" s="146"/>
      <c r="I1616" s="142"/>
      <c r="J1616" s="142"/>
    </row>
    <row r="1617" spans="2:10" ht="14.25" x14ac:dyDescent="0.2">
      <c r="B1617" s="143">
        <f t="shared" si="31"/>
        <v>0</v>
      </c>
      <c r="C1617" s="138"/>
      <c r="D1617" s="144"/>
      <c r="E1617" s="143"/>
      <c r="F1617" s="143"/>
      <c r="G1617" s="147"/>
      <c r="H1617" s="146"/>
      <c r="I1617" s="142"/>
      <c r="J1617" s="142"/>
    </row>
    <row r="1618" spans="2:10" ht="14.25" x14ac:dyDescent="0.2">
      <c r="B1618" s="143">
        <f t="shared" si="31"/>
        <v>0</v>
      </c>
      <c r="C1618" s="138"/>
      <c r="D1618" s="144"/>
      <c r="E1618" s="143"/>
      <c r="F1618" s="143"/>
      <c r="G1618" s="147"/>
      <c r="H1618" s="146"/>
      <c r="I1618" s="142"/>
      <c r="J1618" s="142"/>
    </row>
    <row r="1619" spans="2:10" ht="14.25" x14ac:dyDescent="0.2">
      <c r="B1619" s="143">
        <f t="shared" si="31"/>
        <v>0</v>
      </c>
      <c r="C1619" s="138"/>
      <c r="D1619" s="144"/>
      <c r="E1619" s="143"/>
      <c r="F1619" s="143"/>
      <c r="G1619" s="147"/>
      <c r="H1619" s="146"/>
      <c r="I1619" s="142"/>
      <c r="J1619" s="142"/>
    </row>
    <row r="1620" spans="2:10" ht="14.25" x14ac:dyDescent="0.2">
      <c r="B1620" s="143">
        <f t="shared" si="31"/>
        <v>0</v>
      </c>
      <c r="C1620" s="138"/>
      <c r="D1620" s="144"/>
      <c r="E1620" s="143"/>
      <c r="F1620" s="143"/>
      <c r="G1620" s="147"/>
      <c r="H1620" s="146"/>
      <c r="I1620" s="142"/>
      <c r="J1620" s="142"/>
    </row>
    <row r="1621" spans="2:10" ht="14.25" x14ac:dyDescent="0.2">
      <c r="B1621" s="143">
        <f t="shared" si="31"/>
        <v>0</v>
      </c>
      <c r="C1621" s="138"/>
      <c r="D1621" s="144"/>
      <c r="E1621" s="143"/>
      <c r="F1621" s="143"/>
      <c r="G1621" s="147"/>
      <c r="H1621" s="146"/>
      <c r="I1621" s="142"/>
      <c r="J1621" s="142"/>
    </row>
    <row r="1622" spans="2:10" ht="14.25" x14ac:dyDescent="0.2">
      <c r="B1622" s="143">
        <f t="shared" si="31"/>
        <v>0</v>
      </c>
      <c r="C1622" s="138"/>
      <c r="D1622" s="144"/>
      <c r="E1622" s="143"/>
      <c r="F1622" s="143"/>
      <c r="G1622" s="147"/>
      <c r="H1622" s="146"/>
      <c r="I1622" s="142"/>
      <c r="J1622" s="142"/>
    </row>
    <row r="1623" spans="2:10" ht="14.25" x14ac:dyDescent="0.2">
      <c r="B1623" s="143">
        <f t="shared" si="31"/>
        <v>0</v>
      </c>
      <c r="C1623" s="138"/>
      <c r="D1623" s="144"/>
      <c r="E1623" s="143"/>
      <c r="F1623" s="143"/>
      <c r="G1623" s="147"/>
      <c r="H1623" s="146"/>
      <c r="I1623" s="142"/>
      <c r="J1623" s="142"/>
    </row>
    <row r="1624" spans="2:10" ht="14.25" x14ac:dyDescent="0.2">
      <c r="B1624" s="143">
        <f t="shared" si="31"/>
        <v>0</v>
      </c>
      <c r="C1624" s="138"/>
      <c r="D1624" s="144"/>
      <c r="E1624" s="143"/>
      <c r="F1624" s="143"/>
      <c r="G1624" s="147"/>
      <c r="H1624" s="146"/>
      <c r="I1624" s="142"/>
      <c r="J1624" s="142"/>
    </row>
    <row r="1625" spans="2:10" ht="14.25" x14ac:dyDescent="0.2">
      <c r="B1625" s="143">
        <f t="shared" si="31"/>
        <v>0</v>
      </c>
      <c r="C1625" s="138"/>
      <c r="D1625" s="144"/>
      <c r="E1625" s="143"/>
      <c r="F1625" s="143"/>
      <c r="G1625" s="147"/>
      <c r="H1625" s="146"/>
      <c r="I1625" s="142"/>
      <c r="J1625" s="142"/>
    </row>
    <row r="1626" spans="2:10" ht="14.25" x14ac:dyDescent="0.2">
      <c r="B1626" s="143">
        <f t="shared" si="31"/>
        <v>0</v>
      </c>
      <c r="C1626" s="138"/>
      <c r="D1626" s="144"/>
      <c r="E1626" s="143"/>
      <c r="F1626" s="143"/>
      <c r="G1626" s="147"/>
      <c r="H1626" s="146"/>
      <c r="I1626" s="142"/>
      <c r="J1626" s="142"/>
    </row>
    <row r="1627" spans="2:10" ht="14.25" x14ac:dyDescent="0.2">
      <c r="B1627" s="143">
        <f t="shared" si="31"/>
        <v>0</v>
      </c>
      <c r="C1627" s="138"/>
      <c r="D1627" s="144"/>
      <c r="E1627" s="143"/>
      <c r="F1627" s="143"/>
      <c r="G1627" s="147"/>
      <c r="H1627" s="146"/>
      <c r="I1627" s="142"/>
      <c r="J1627" s="142"/>
    </row>
    <row r="1628" spans="2:10" ht="14.25" x14ac:dyDescent="0.2">
      <c r="B1628" s="143">
        <f t="shared" si="31"/>
        <v>0</v>
      </c>
      <c r="C1628" s="138"/>
      <c r="D1628" s="144"/>
      <c r="E1628" s="143"/>
      <c r="F1628" s="143"/>
      <c r="G1628" s="147"/>
      <c r="H1628" s="146"/>
      <c r="I1628" s="142"/>
      <c r="J1628" s="142"/>
    </row>
    <row r="1629" spans="2:10" ht="14.25" x14ac:dyDescent="0.2">
      <c r="B1629" s="143">
        <f t="shared" si="31"/>
        <v>0</v>
      </c>
      <c r="C1629" s="138"/>
      <c r="D1629" s="144"/>
      <c r="E1629" s="143"/>
      <c r="F1629" s="143"/>
      <c r="G1629" s="147"/>
      <c r="H1629" s="146"/>
      <c r="I1629" s="142"/>
      <c r="J1629" s="142"/>
    </row>
    <row r="1630" spans="2:10" ht="14.25" x14ac:dyDescent="0.2">
      <c r="B1630" s="143">
        <f t="shared" si="31"/>
        <v>0</v>
      </c>
      <c r="C1630" s="138"/>
      <c r="D1630" s="144"/>
      <c r="E1630" s="143"/>
      <c r="F1630" s="143"/>
      <c r="G1630" s="147"/>
      <c r="H1630" s="146"/>
      <c r="I1630" s="142"/>
      <c r="J1630" s="142"/>
    </row>
    <row r="1631" spans="2:10" ht="14.25" x14ac:dyDescent="0.2">
      <c r="B1631" s="143">
        <f t="shared" si="31"/>
        <v>0</v>
      </c>
      <c r="C1631" s="138"/>
      <c r="D1631" s="144"/>
      <c r="E1631" s="143"/>
      <c r="F1631" s="143"/>
      <c r="G1631" s="147"/>
      <c r="H1631" s="146"/>
      <c r="I1631" s="142"/>
      <c r="J1631" s="142"/>
    </row>
    <row r="1632" spans="2:10" ht="14.25" x14ac:dyDescent="0.2">
      <c r="B1632" s="143">
        <f t="shared" si="31"/>
        <v>0</v>
      </c>
      <c r="C1632" s="138"/>
      <c r="D1632" s="144"/>
      <c r="E1632" s="143"/>
      <c r="F1632" s="143"/>
      <c r="G1632" s="147"/>
      <c r="H1632" s="146"/>
      <c r="I1632" s="142"/>
      <c r="J1632" s="142"/>
    </row>
    <row r="1633" spans="2:10" ht="14.25" x14ac:dyDescent="0.2">
      <c r="B1633" s="143">
        <f t="shared" si="31"/>
        <v>0</v>
      </c>
      <c r="C1633" s="138"/>
      <c r="D1633" s="144"/>
      <c r="E1633" s="143"/>
      <c r="F1633" s="143"/>
      <c r="G1633" s="147"/>
      <c r="H1633" s="146"/>
      <c r="I1633" s="142"/>
      <c r="J1633" s="142"/>
    </row>
    <row r="1634" spans="2:10" ht="14.25" x14ac:dyDescent="0.2">
      <c r="B1634" s="143">
        <f t="shared" si="31"/>
        <v>0</v>
      </c>
      <c r="C1634" s="138"/>
      <c r="D1634" s="144"/>
      <c r="E1634" s="143"/>
      <c r="F1634" s="143"/>
      <c r="G1634" s="147"/>
      <c r="H1634" s="146"/>
      <c r="I1634" s="142"/>
      <c r="J1634" s="142"/>
    </row>
    <row r="1635" spans="2:10" ht="14.25" x14ac:dyDescent="0.2">
      <c r="B1635" s="143">
        <f t="shared" si="31"/>
        <v>0</v>
      </c>
      <c r="C1635" s="138"/>
      <c r="D1635" s="144"/>
      <c r="E1635" s="143"/>
      <c r="F1635" s="143"/>
      <c r="G1635" s="147"/>
      <c r="H1635" s="146"/>
      <c r="I1635" s="142"/>
      <c r="J1635" s="142"/>
    </row>
    <row r="1636" spans="2:10" ht="14.25" x14ac:dyDescent="0.2">
      <c r="B1636" s="143">
        <f t="shared" si="31"/>
        <v>0</v>
      </c>
      <c r="C1636" s="138"/>
      <c r="D1636" s="144"/>
      <c r="E1636" s="143"/>
      <c r="F1636" s="143"/>
      <c r="G1636" s="147"/>
      <c r="H1636" s="146"/>
      <c r="I1636" s="142"/>
      <c r="J1636" s="142"/>
    </row>
    <row r="1637" spans="2:10" ht="14.25" x14ac:dyDescent="0.2">
      <c r="B1637" s="143">
        <f t="shared" si="31"/>
        <v>0</v>
      </c>
      <c r="C1637" s="138"/>
      <c r="D1637" s="144"/>
      <c r="E1637" s="143"/>
      <c r="F1637" s="143"/>
      <c r="G1637" s="147"/>
      <c r="H1637" s="146"/>
      <c r="I1637" s="142"/>
      <c r="J1637" s="142"/>
    </row>
    <row r="1638" spans="2:10" ht="14.25" x14ac:dyDescent="0.2">
      <c r="B1638" s="143">
        <f t="shared" si="31"/>
        <v>0</v>
      </c>
      <c r="C1638" s="138"/>
      <c r="D1638" s="144"/>
      <c r="E1638" s="143"/>
      <c r="F1638" s="143"/>
      <c r="G1638" s="147"/>
      <c r="H1638" s="146"/>
      <c r="I1638" s="142"/>
      <c r="J1638" s="142"/>
    </row>
    <row r="1639" spans="2:10" ht="14.25" x14ac:dyDescent="0.2">
      <c r="B1639" s="143">
        <f t="shared" si="31"/>
        <v>0</v>
      </c>
      <c r="C1639" s="138"/>
      <c r="D1639" s="144"/>
      <c r="E1639" s="143"/>
      <c r="F1639" s="143"/>
      <c r="G1639" s="147"/>
      <c r="H1639" s="146"/>
      <c r="I1639" s="142"/>
      <c r="J1639" s="142"/>
    </row>
    <row r="1640" spans="2:10" ht="14.25" x14ac:dyDescent="0.2">
      <c r="B1640" s="143">
        <f t="shared" si="31"/>
        <v>0</v>
      </c>
      <c r="C1640" s="138"/>
      <c r="D1640" s="144"/>
      <c r="E1640" s="143"/>
      <c r="F1640" s="143"/>
      <c r="G1640" s="147"/>
      <c r="H1640" s="146"/>
      <c r="I1640" s="142"/>
      <c r="J1640" s="142"/>
    </row>
    <row r="1641" spans="2:10" ht="14.25" x14ac:dyDescent="0.2">
      <c r="B1641" s="143">
        <f t="shared" si="31"/>
        <v>0</v>
      </c>
      <c r="C1641" s="138"/>
      <c r="D1641" s="144"/>
      <c r="E1641" s="143"/>
      <c r="F1641" s="143"/>
      <c r="G1641" s="147"/>
      <c r="H1641" s="146"/>
      <c r="I1641" s="142"/>
      <c r="J1641" s="142"/>
    </row>
    <row r="1642" spans="2:10" ht="14.25" x14ac:dyDescent="0.2">
      <c r="B1642" s="143">
        <f t="shared" si="31"/>
        <v>0</v>
      </c>
      <c r="C1642" s="138"/>
      <c r="D1642" s="144"/>
      <c r="E1642" s="143"/>
      <c r="F1642" s="143"/>
      <c r="G1642" s="147"/>
      <c r="H1642" s="146"/>
      <c r="I1642" s="142"/>
      <c r="J1642" s="142"/>
    </row>
    <row r="1643" spans="2:10" ht="14.25" x14ac:dyDescent="0.2">
      <c r="B1643" s="143">
        <f t="shared" si="31"/>
        <v>0</v>
      </c>
      <c r="C1643" s="138"/>
      <c r="D1643" s="144"/>
      <c r="E1643" s="143"/>
      <c r="F1643" s="143"/>
      <c r="G1643" s="147"/>
      <c r="H1643" s="146"/>
      <c r="I1643" s="142"/>
      <c r="J1643" s="142"/>
    </row>
    <row r="1644" spans="2:10" ht="14.25" x14ac:dyDescent="0.2">
      <c r="B1644" s="143">
        <f t="shared" si="31"/>
        <v>0</v>
      </c>
      <c r="C1644" s="138"/>
      <c r="D1644" s="144"/>
      <c r="E1644" s="143"/>
      <c r="F1644" s="143"/>
      <c r="G1644" s="147"/>
      <c r="H1644" s="146"/>
      <c r="I1644" s="142"/>
      <c r="J1644" s="142"/>
    </row>
    <row r="1645" spans="2:10" ht="14.25" x14ac:dyDescent="0.2">
      <c r="B1645" s="143">
        <f t="shared" si="31"/>
        <v>0</v>
      </c>
      <c r="C1645" s="138"/>
      <c r="D1645" s="144"/>
      <c r="E1645" s="143"/>
      <c r="F1645" s="143"/>
      <c r="G1645" s="147"/>
      <c r="H1645" s="146"/>
      <c r="I1645" s="142"/>
      <c r="J1645" s="142"/>
    </row>
    <row r="1646" spans="2:10" ht="14.25" x14ac:dyDescent="0.2">
      <c r="B1646" s="143">
        <f t="shared" si="31"/>
        <v>0</v>
      </c>
      <c r="C1646" s="138"/>
      <c r="D1646" s="144"/>
      <c r="E1646" s="143"/>
      <c r="F1646" s="143"/>
      <c r="G1646" s="147"/>
      <c r="H1646" s="146"/>
      <c r="I1646" s="142"/>
      <c r="J1646" s="142"/>
    </row>
    <row r="1647" spans="2:10" ht="14.25" x14ac:dyDescent="0.2">
      <c r="B1647" s="143">
        <f t="shared" si="31"/>
        <v>0</v>
      </c>
      <c r="C1647" s="138"/>
      <c r="D1647" s="144"/>
      <c r="E1647" s="143"/>
      <c r="F1647" s="143"/>
      <c r="G1647" s="147"/>
      <c r="H1647" s="146"/>
      <c r="I1647" s="142"/>
      <c r="J1647" s="142"/>
    </row>
    <row r="1648" spans="2:10" ht="14.25" x14ac:dyDescent="0.2">
      <c r="B1648" s="143">
        <f t="shared" si="31"/>
        <v>0</v>
      </c>
      <c r="C1648" s="138"/>
      <c r="D1648" s="144"/>
      <c r="E1648" s="143"/>
      <c r="F1648" s="143"/>
      <c r="G1648" s="147"/>
      <c r="H1648" s="146"/>
      <c r="I1648" s="142"/>
      <c r="J1648" s="142"/>
    </row>
    <row r="1649" spans="2:10" ht="14.25" x14ac:dyDescent="0.2">
      <c r="B1649" s="143">
        <f t="shared" si="31"/>
        <v>0</v>
      </c>
      <c r="C1649" s="138"/>
      <c r="D1649" s="144"/>
      <c r="E1649" s="143"/>
      <c r="F1649" s="143"/>
      <c r="G1649" s="147"/>
      <c r="H1649" s="146"/>
      <c r="I1649" s="142"/>
      <c r="J1649" s="142"/>
    </row>
    <row r="1650" spans="2:10" ht="14.25" x14ac:dyDescent="0.2">
      <c r="B1650" s="143">
        <f t="shared" si="31"/>
        <v>0</v>
      </c>
      <c r="C1650" s="138"/>
      <c r="D1650" s="144"/>
      <c r="E1650" s="143"/>
      <c r="F1650" s="143"/>
      <c r="G1650" s="147"/>
      <c r="H1650" s="146"/>
      <c r="I1650" s="142"/>
      <c r="J1650" s="142"/>
    </row>
    <row r="1651" spans="2:10" ht="14.25" x14ac:dyDescent="0.2">
      <c r="B1651" s="143">
        <f t="shared" si="31"/>
        <v>0</v>
      </c>
      <c r="C1651" s="138"/>
      <c r="D1651" s="144"/>
      <c r="E1651" s="143"/>
      <c r="F1651" s="143"/>
      <c r="G1651" s="147"/>
      <c r="H1651" s="146"/>
      <c r="I1651" s="142"/>
      <c r="J1651" s="142"/>
    </row>
    <row r="1652" spans="2:10" ht="14.25" x14ac:dyDescent="0.2">
      <c r="B1652" s="143">
        <f t="shared" si="31"/>
        <v>0</v>
      </c>
      <c r="C1652" s="138"/>
      <c r="D1652" s="144"/>
      <c r="E1652" s="143"/>
      <c r="F1652" s="143"/>
      <c r="G1652" s="147"/>
      <c r="H1652" s="146"/>
      <c r="I1652" s="142"/>
      <c r="J1652" s="142"/>
    </row>
    <row r="1653" spans="2:10" ht="14.25" x14ac:dyDescent="0.2">
      <c r="B1653" s="143">
        <f t="shared" si="31"/>
        <v>0</v>
      </c>
      <c r="C1653" s="138"/>
      <c r="D1653" s="144"/>
      <c r="E1653" s="143"/>
      <c r="F1653" s="143"/>
      <c r="G1653" s="147"/>
      <c r="H1653" s="146"/>
      <c r="I1653" s="142"/>
      <c r="J1653" s="142"/>
    </row>
    <row r="1654" spans="2:10" ht="14.25" x14ac:dyDescent="0.2">
      <c r="B1654" s="143">
        <f t="shared" si="31"/>
        <v>0</v>
      </c>
      <c r="C1654" s="138"/>
      <c r="D1654" s="144"/>
      <c r="E1654" s="143"/>
      <c r="F1654" s="143"/>
      <c r="G1654" s="147"/>
      <c r="H1654" s="146"/>
      <c r="I1654" s="142"/>
      <c r="J1654" s="142"/>
    </row>
    <row r="1655" spans="2:10" ht="14.25" x14ac:dyDescent="0.2">
      <c r="B1655" s="143">
        <f t="shared" si="31"/>
        <v>0</v>
      </c>
      <c r="C1655" s="138"/>
      <c r="D1655" s="144"/>
      <c r="E1655" s="143"/>
      <c r="F1655" s="143"/>
      <c r="G1655" s="147"/>
      <c r="H1655" s="146"/>
      <c r="I1655" s="142"/>
      <c r="J1655" s="142"/>
    </row>
    <row r="1656" spans="2:10" ht="14.25" x14ac:dyDescent="0.2">
      <c r="B1656" s="143">
        <f t="shared" ref="B1656:B1719" si="32">WEEKNUM(D1656)</f>
        <v>0</v>
      </c>
      <c r="C1656" s="138"/>
      <c r="D1656" s="144"/>
      <c r="E1656" s="143"/>
      <c r="F1656" s="143"/>
      <c r="G1656" s="147"/>
      <c r="H1656" s="146"/>
      <c r="I1656" s="142"/>
      <c r="J1656" s="142"/>
    </row>
    <row r="1657" spans="2:10" ht="14.25" x14ac:dyDescent="0.2">
      <c r="B1657" s="143">
        <f t="shared" si="32"/>
        <v>0</v>
      </c>
      <c r="C1657" s="138"/>
      <c r="D1657" s="144"/>
      <c r="E1657" s="143"/>
      <c r="F1657" s="143"/>
      <c r="G1657" s="147"/>
      <c r="H1657" s="146"/>
      <c r="I1657" s="142"/>
      <c r="J1657" s="142"/>
    </row>
    <row r="1658" spans="2:10" ht="14.25" x14ac:dyDescent="0.2">
      <c r="B1658" s="143">
        <f t="shared" si="32"/>
        <v>0</v>
      </c>
      <c r="C1658" s="138"/>
      <c r="D1658" s="144"/>
      <c r="E1658" s="143"/>
      <c r="F1658" s="143"/>
      <c r="G1658" s="147"/>
      <c r="H1658" s="146"/>
      <c r="I1658" s="142"/>
      <c r="J1658" s="142"/>
    </row>
    <row r="1659" spans="2:10" ht="14.25" x14ac:dyDescent="0.2">
      <c r="B1659" s="143">
        <f t="shared" si="32"/>
        <v>0</v>
      </c>
      <c r="C1659" s="138"/>
      <c r="D1659" s="144"/>
      <c r="E1659" s="143"/>
      <c r="F1659" s="143"/>
      <c r="G1659" s="147"/>
      <c r="H1659" s="146"/>
      <c r="I1659" s="142"/>
      <c r="J1659" s="142"/>
    </row>
    <row r="1660" spans="2:10" ht="14.25" x14ac:dyDescent="0.2">
      <c r="B1660" s="143">
        <f t="shared" si="32"/>
        <v>0</v>
      </c>
      <c r="C1660" s="138"/>
      <c r="D1660" s="144"/>
      <c r="E1660" s="143"/>
      <c r="F1660" s="143"/>
      <c r="G1660" s="147"/>
      <c r="H1660" s="146"/>
      <c r="I1660" s="142"/>
      <c r="J1660" s="142"/>
    </row>
    <row r="1661" spans="2:10" ht="14.25" x14ac:dyDescent="0.2">
      <c r="B1661" s="143">
        <f t="shared" si="32"/>
        <v>0</v>
      </c>
      <c r="C1661" s="138"/>
      <c r="D1661" s="144"/>
      <c r="E1661" s="143"/>
      <c r="F1661" s="143"/>
      <c r="G1661" s="147"/>
      <c r="H1661" s="146"/>
      <c r="I1661" s="142"/>
      <c r="J1661" s="142"/>
    </row>
    <row r="1662" spans="2:10" ht="14.25" x14ac:dyDescent="0.2">
      <c r="B1662" s="143">
        <f t="shared" si="32"/>
        <v>0</v>
      </c>
      <c r="C1662" s="138"/>
      <c r="D1662" s="144"/>
      <c r="E1662" s="143"/>
      <c r="F1662" s="143"/>
      <c r="G1662" s="147"/>
      <c r="H1662" s="146"/>
      <c r="I1662" s="142"/>
      <c r="J1662" s="142"/>
    </row>
    <row r="1663" spans="2:10" ht="14.25" x14ac:dyDescent="0.2">
      <c r="B1663" s="143">
        <f t="shared" si="32"/>
        <v>0</v>
      </c>
      <c r="C1663" s="138"/>
      <c r="D1663" s="144"/>
      <c r="E1663" s="143"/>
      <c r="F1663" s="143"/>
      <c r="G1663" s="147"/>
      <c r="H1663" s="146"/>
      <c r="I1663" s="142"/>
      <c r="J1663" s="142"/>
    </row>
    <row r="1664" spans="2:10" ht="14.25" x14ac:dyDescent="0.2">
      <c r="B1664" s="143">
        <f t="shared" si="32"/>
        <v>0</v>
      </c>
      <c r="C1664" s="138"/>
      <c r="D1664" s="144"/>
      <c r="E1664" s="143"/>
      <c r="F1664" s="143"/>
      <c r="G1664" s="147"/>
      <c r="H1664" s="146"/>
      <c r="I1664" s="142"/>
      <c r="J1664" s="142"/>
    </row>
    <row r="1665" spans="2:10" ht="14.25" x14ac:dyDescent="0.2">
      <c r="B1665" s="143">
        <f t="shared" si="32"/>
        <v>0</v>
      </c>
      <c r="C1665" s="138"/>
      <c r="D1665" s="144"/>
      <c r="E1665" s="143"/>
      <c r="F1665" s="143"/>
      <c r="G1665" s="147"/>
      <c r="H1665" s="146"/>
      <c r="I1665" s="142"/>
      <c r="J1665" s="142"/>
    </row>
    <row r="1666" spans="2:10" ht="14.25" x14ac:dyDescent="0.2">
      <c r="B1666" s="143">
        <f t="shared" si="32"/>
        <v>0</v>
      </c>
      <c r="C1666" s="138"/>
      <c r="D1666" s="144"/>
      <c r="E1666" s="143"/>
      <c r="F1666" s="143"/>
      <c r="G1666" s="147"/>
      <c r="H1666" s="146"/>
      <c r="I1666" s="142"/>
      <c r="J1666" s="142"/>
    </row>
    <row r="1667" spans="2:10" ht="14.25" x14ac:dyDescent="0.2">
      <c r="B1667" s="143">
        <f t="shared" si="32"/>
        <v>0</v>
      </c>
      <c r="C1667" s="138"/>
      <c r="D1667" s="144"/>
      <c r="E1667" s="143"/>
      <c r="F1667" s="143"/>
      <c r="G1667" s="147"/>
      <c r="H1667" s="146"/>
      <c r="I1667" s="142"/>
      <c r="J1667" s="142"/>
    </row>
    <row r="1668" spans="2:10" ht="14.25" x14ac:dyDescent="0.2">
      <c r="B1668" s="143">
        <f t="shared" si="32"/>
        <v>0</v>
      </c>
      <c r="C1668" s="138"/>
      <c r="D1668" s="144"/>
      <c r="E1668" s="143"/>
      <c r="F1668" s="143"/>
      <c r="G1668" s="147"/>
      <c r="H1668" s="146"/>
      <c r="I1668" s="142"/>
      <c r="J1668" s="142"/>
    </row>
    <row r="1669" spans="2:10" ht="14.25" x14ac:dyDescent="0.2">
      <c r="B1669" s="143">
        <f t="shared" si="32"/>
        <v>0</v>
      </c>
      <c r="C1669" s="138"/>
      <c r="D1669" s="144"/>
      <c r="E1669" s="143"/>
      <c r="F1669" s="143"/>
      <c r="G1669" s="147"/>
      <c r="H1669" s="146"/>
      <c r="I1669" s="142"/>
      <c r="J1669" s="142"/>
    </row>
    <row r="1670" spans="2:10" ht="14.25" x14ac:dyDescent="0.2">
      <c r="B1670" s="143">
        <f t="shared" si="32"/>
        <v>0</v>
      </c>
      <c r="C1670" s="138"/>
      <c r="D1670" s="144"/>
      <c r="E1670" s="143"/>
      <c r="F1670" s="143"/>
      <c r="G1670" s="147"/>
      <c r="H1670" s="146"/>
      <c r="I1670" s="142"/>
      <c r="J1670" s="142"/>
    </row>
    <row r="1671" spans="2:10" ht="14.25" x14ac:dyDescent="0.2">
      <c r="B1671" s="143">
        <f t="shared" si="32"/>
        <v>0</v>
      </c>
      <c r="C1671" s="138"/>
      <c r="D1671" s="144"/>
      <c r="E1671" s="143"/>
      <c r="F1671" s="143"/>
      <c r="G1671" s="147"/>
      <c r="H1671" s="146"/>
      <c r="I1671" s="142"/>
      <c r="J1671" s="142"/>
    </row>
    <row r="1672" spans="2:10" ht="14.25" x14ac:dyDescent="0.2">
      <c r="B1672" s="143">
        <f t="shared" si="32"/>
        <v>0</v>
      </c>
      <c r="C1672" s="138"/>
      <c r="D1672" s="144"/>
      <c r="E1672" s="143"/>
      <c r="F1672" s="143"/>
      <c r="G1672" s="147"/>
      <c r="H1672" s="146"/>
      <c r="I1672" s="142"/>
      <c r="J1672" s="142"/>
    </row>
    <row r="1673" spans="2:10" ht="14.25" x14ac:dyDescent="0.2">
      <c r="B1673" s="143">
        <f t="shared" si="32"/>
        <v>0</v>
      </c>
      <c r="C1673" s="138"/>
      <c r="D1673" s="144"/>
      <c r="E1673" s="143"/>
      <c r="F1673" s="143"/>
      <c r="G1673" s="147"/>
      <c r="H1673" s="146"/>
      <c r="I1673" s="142"/>
      <c r="J1673" s="142"/>
    </row>
    <row r="1674" spans="2:10" ht="14.25" x14ac:dyDescent="0.2">
      <c r="B1674" s="143">
        <f t="shared" si="32"/>
        <v>0</v>
      </c>
      <c r="C1674" s="138"/>
      <c r="D1674" s="144"/>
      <c r="E1674" s="143"/>
      <c r="F1674" s="143"/>
      <c r="G1674" s="147"/>
      <c r="H1674" s="146"/>
      <c r="I1674" s="142"/>
      <c r="J1674" s="142"/>
    </row>
    <row r="1675" spans="2:10" ht="14.25" x14ac:dyDescent="0.2">
      <c r="B1675" s="143">
        <f t="shared" si="32"/>
        <v>0</v>
      </c>
      <c r="C1675" s="138"/>
      <c r="D1675" s="144"/>
      <c r="E1675" s="143"/>
      <c r="F1675" s="143"/>
      <c r="G1675" s="147"/>
      <c r="H1675" s="146"/>
      <c r="I1675" s="142"/>
      <c r="J1675" s="142"/>
    </row>
    <row r="1676" spans="2:10" ht="14.25" x14ac:dyDescent="0.2">
      <c r="B1676" s="143">
        <f t="shared" si="32"/>
        <v>0</v>
      </c>
      <c r="C1676" s="138"/>
      <c r="D1676" s="144"/>
      <c r="E1676" s="143"/>
      <c r="F1676" s="143"/>
      <c r="G1676" s="147"/>
      <c r="H1676" s="146"/>
      <c r="I1676" s="142"/>
      <c r="J1676" s="142"/>
    </row>
    <row r="1677" spans="2:10" ht="14.25" x14ac:dyDescent="0.2">
      <c r="B1677" s="143">
        <f t="shared" si="32"/>
        <v>0</v>
      </c>
      <c r="C1677" s="138"/>
      <c r="D1677" s="144"/>
      <c r="E1677" s="143"/>
      <c r="F1677" s="143"/>
      <c r="G1677" s="147"/>
      <c r="H1677" s="146"/>
      <c r="I1677" s="142"/>
      <c r="J1677" s="142"/>
    </row>
    <row r="1678" spans="2:10" ht="14.25" x14ac:dyDescent="0.2">
      <c r="B1678" s="143">
        <f t="shared" si="32"/>
        <v>0</v>
      </c>
      <c r="C1678" s="138"/>
      <c r="D1678" s="144"/>
      <c r="E1678" s="143"/>
      <c r="F1678" s="143"/>
      <c r="G1678" s="147"/>
      <c r="H1678" s="146"/>
      <c r="I1678" s="142"/>
      <c r="J1678" s="142"/>
    </row>
    <row r="1679" spans="2:10" ht="14.25" x14ac:dyDescent="0.2">
      <c r="B1679" s="143">
        <f t="shared" si="32"/>
        <v>0</v>
      </c>
      <c r="C1679" s="138"/>
      <c r="D1679" s="144"/>
      <c r="E1679" s="143"/>
      <c r="F1679" s="143"/>
      <c r="G1679" s="147"/>
      <c r="H1679" s="146"/>
      <c r="I1679" s="142"/>
      <c r="J1679" s="142"/>
    </row>
    <row r="1680" spans="2:10" ht="14.25" x14ac:dyDescent="0.2">
      <c r="B1680" s="143">
        <f t="shared" si="32"/>
        <v>0</v>
      </c>
      <c r="C1680" s="138"/>
      <c r="D1680" s="144"/>
      <c r="E1680" s="143"/>
      <c r="F1680" s="143"/>
      <c r="G1680" s="147"/>
      <c r="H1680" s="146"/>
      <c r="I1680" s="142"/>
      <c r="J1680" s="142"/>
    </row>
    <row r="1681" spans="2:10" ht="14.25" x14ac:dyDescent="0.2">
      <c r="B1681" s="143">
        <f t="shared" si="32"/>
        <v>0</v>
      </c>
      <c r="C1681" s="138"/>
      <c r="D1681" s="144"/>
      <c r="E1681" s="143"/>
      <c r="F1681" s="143"/>
      <c r="G1681" s="147"/>
      <c r="H1681" s="146"/>
      <c r="I1681" s="142"/>
      <c r="J1681" s="142"/>
    </row>
    <row r="1682" spans="2:10" ht="14.25" x14ac:dyDescent="0.2">
      <c r="B1682" s="143">
        <f t="shared" si="32"/>
        <v>0</v>
      </c>
      <c r="C1682" s="138"/>
      <c r="D1682" s="144"/>
      <c r="E1682" s="143"/>
      <c r="F1682" s="143"/>
      <c r="G1682" s="147"/>
      <c r="H1682" s="146"/>
      <c r="I1682" s="142"/>
      <c r="J1682" s="142"/>
    </row>
    <row r="1683" spans="2:10" ht="14.25" x14ac:dyDescent="0.2">
      <c r="B1683" s="143">
        <f t="shared" si="32"/>
        <v>0</v>
      </c>
      <c r="C1683" s="138"/>
      <c r="D1683" s="144"/>
      <c r="E1683" s="143"/>
      <c r="F1683" s="143"/>
      <c r="G1683" s="147"/>
      <c r="H1683" s="146"/>
      <c r="I1683" s="142"/>
      <c r="J1683" s="142"/>
    </row>
    <row r="1684" spans="2:10" ht="14.25" x14ac:dyDescent="0.2">
      <c r="B1684" s="143">
        <f t="shared" si="32"/>
        <v>0</v>
      </c>
      <c r="C1684" s="138"/>
      <c r="D1684" s="144"/>
      <c r="E1684" s="143"/>
      <c r="F1684" s="143"/>
      <c r="G1684" s="147"/>
      <c r="H1684" s="146"/>
      <c r="I1684" s="142"/>
      <c r="J1684" s="142"/>
    </row>
    <row r="1685" spans="2:10" ht="14.25" x14ac:dyDescent="0.2">
      <c r="B1685" s="143">
        <f t="shared" si="32"/>
        <v>0</v>
      </c>
      <c r="C1685" s="138"/>
      <c r="D1685" s="144"/>
      <c r="E1685" s="143"/>
      <c r="F1685" s="143"/>
      <c r="G1685" s="147"/>
      <c r="H1685" s="146"/>
      <c r="I1685" s="142"/>
      <c r="J1685" s="142"/>
    </row>
    <row r="1686" spans="2:10" ht="14.25" x14ac:dyDescent="0.2">
      <c r="B1686" s="143">
        <f t="shared" si="32"/>
        <v>0</v>
      </c>
      <c r="C1686" s="138"/>
      <c r="D1686" s="144"/>
      <c r="E1686" s="143"/>
      <c r="F1686" s="143"/>
      <c r="G1686" s="147"/>
      <c r="H1686" s="146"/>
      <c r="I1686" s="142"/>
      <c r="J1686" s="142"/>
    </row>
    <row r="1687" spans="2:10" ht="14.25" x14ac:dyDescent="0.2">
      <c r="B1687" s="143">
        <f t="shared" si="32"/>
        <v>0</v>
      </c>
      <c r="C1687" s="138"/>
      <c r="D1687" s="144"/>
      <c r="E1687" s="143"/>
      <c r="F1687" s="143"/>
      <c r="G1687" s="147"/>
      <c r="H1687" s="146"/>
      <c r="I1687" s="142"/>
      <c r="J1687" s="142"/>
    </row>
    <row r="1688" spans="2:10" ht="14.25" x14ac:dyDescent="0.2">
      <c r="B1688" s="143">
        <f t="shared" si="32"/>
        <v>0</v>
      </c>
      <c r="C1688" s="138"/>
      <c r="D1688" s="144"/>
      <c r="E1688" s="143"/>
      <c r="F1688" s="143"/>
      <c r="G1688" s="147"/>
      <c r="H1688" s="146"/>
      <c r="I1688" s="142"/>
      <c r="J1688" s="142"/>
    </row>
    <row r="1689" spans="2:10" ht="14.25" x14ac:dyDescent="0.2">
      <c r="B1689" s="143">
        <f t="shared" si="32"/>
        <v>0</v>
      </c>
      <c r="C1689" s="138"/>
      <c r="D1689" s="144"/>
      <c r="E1689" s="143"/>
      <c r="F1689" s="143"/>
      <c r="G1689" s="147"/>
      <c r="H1689" s="146"/>
      <c r="I1689" s="142"/>
      <c r="J1689" s="142"/>
    </row>
    <row r="1690" spans="2:10" ht="14.25" x14ac:dyDescent="0.2">
      <c r="B1690" s="143">
        <f t="shared" si="32"/>
        <v>0</v>
      </c>
      <c r="C1690" s="138"/>
      <c r="D1690" s="144"/>
      <c r="E1690" s="143"/>
      <c r="F1690" s="143"/>
      <c r="G1690" s="147"/>
      <c r="H1690" s="146"/>
      <c r="I1690" s="142"/>
      <c r="J1690" s="142"/>
    </row>
    <row r="1691" spans="2:10" ht="14.25" x14ac:dyDescent="0.2">
      <c r="B1691" s="143">
        <f t="shared" si="32"/>
        <v>0</v>
      </c>
      <c r="C1691" s="138"/>
      <c r="D1691" s="144"/>
      <c r="E1691" s="143"/>
      <c r="F1691" s="143"/>
      <c r="G1691" s="147"/>
      <c r="H1691" s="146"/>
      <c r="I1691" s="142"/>
      <c r="J1691" s="142"/>
    </row>
    <row r="1692" spans="2:10" ht="14.25" x14ac:dyDescent="0.2">
      <c r="B1692" s="143">
        <f t="shared" si="32"/>
        <v>0</v>
      </c>
      <c r="C1692" s="138"/>
      <c r="D1692" s="144"/>
      <c r="E1692" s="143"/>
      <c r="F1692" s="143"/>
      <c r="G1692" s="147"/>
      <c r="H1692" s="146"/>
      <c r="I1692" s="142"/>
      <c r="J1692" s="142"/>
    </row>
    <row r="1693" spans="2:10" ht="14.25" x14ac:dyDescent="0.2">
      <c r="B1693" s="143">
        <f t="shared" si="32"/>
        <v>0</v>
      </c>
      <c r="C1693" s="138"/>
      <c r="D1693" s="144"/>
      <c r="E1693" s="143"/>
      <c r="F1693" s="143"/>
      <c r="G1693" s="147"/>
      <c r="H1693" s="146"/>
      <c r="I1693" s="142"/>
      <c r="J1693" s="142"/>
    </row>
    <row r="1694" spans="2:10" ht="14.25" x14ac:dyDescent="0.2">
      <c r="B1694" s="143">
        <f t="shared" si="32"/>
        <v>0</v>
      </c>
      <c r="C1694" s="138"/>
      <c r="D1694" s="144"/>
      <c r="E1694" s="143"/>
      <c r="F1694" s="143"/>
      <c r="G1694" s="147"/>
      <c r="H1694" s="146"/>
      <c r="I1694" s="142"/>
      <c r="J1694" s="142"/>
    </row>
    <row r="1695" spans="2:10" ht="14.25" x14ac:dyDescent="0.2">
      <c r="B1695" s="143">
        <f t="shared" si="32"/>
        <v>0</v>
      </c>
      <c r="C1695" s="138"/>
      <c r="D1695" s="144"/>
      <c r="E1695" s="143"/>
      <c r="F1695" s="143"/>
      <c r="G1695" s="147"/>
      <c r="H1695" s="146"/>
      <c r="I1695" s="142"/>
      <c r="J1695" s="142"/>
    </row>
    <row r="1696" spans="2:10" ht="14.25" x14ac:dyDescent="0.2">
      <c r="B1696" s="143">
        <f t="shared" si="32"/>
        <v>0</v>
      </c>
      <c r="C1696" s="138"/>
      <c r="D1696" s="144"/>
      <c r="E1696" s="143"/>
      <c r="F1696" s="143"/>
      <c r="G1696" s="147"/>
      <c r="H1696" s="146"/>
      <c r="I1696" s="142"/>
      <c r="J1696" s="142"/>
    </row>
    <row r="1697" spans="2:10" ht="14.25" x14ac:dyDescent="0.2">
      <c r="B1697" s="143">
        <f t="shared" si="32"/>
        <v>0</v>
      </c>
      <c r="C1697" s="138"/>
      <c r="D1697" s="144"/>
      <c r="E1697" s="143"/>
      <c r="F1697" s="143"/>
      <c r="G1697" s="147"/>
      <c r="H1697" s="146"/>
      <c r="I1697" s="142"/>
      <c r="J1697" s="142"/>
    </row>
    <row r="1698" spans="2:10" ht="14.25" x14ac:dyDescent="0.2">
      <c r="B1698" s="143">
        <f t="shared" si="32"/>
        <v>0</v>
      </c>
      <c r="C1698" s="138"/>
      <c r="D1698" s="144"/>
      <c r="E1698" s="143"/>
      <c r="F1698" s="143"/>
      <c r="G1698" s="147"/>
      <c r="H1698" s="146"/>
      <c r="I1698" s="142"/>
      <c r="J1698" s="142"/>
    </row>
    <row r="1699" spans="2:10" ht="14.25" x14ac:dyDescent="0.2">
      <c r="B1699" s="143">
        <f t="shared" si="32"/>
        <v>0</v>
      </c>
      <c r="C1699" s="138"/>
      <c r="D1699" s="144"/>
      <c r="E1699" s="143"/>
      <c r="F1699" s="143"/>
      <c r="G1699" s="147"/>
      <c r="H1699" s="146"/>
      <c r="I1699" s="142"/>
      <c r="J1699" s="142"/>
    </row>
    <row r="1700" spans="2:10" ht="14.25" x14ac:dyDescent="0.2">
      <c r="B1700" s="143">
        <f t="shared" si="32"/>
        <v>0</v>
      </c>
      <c r="C1700" s="138"/>
      <c r="D1700" s="144"/>
      <c r="E1700" s="143"/>
      <c r="F1700" s="143"/>
      <c r="G1700" s="147"/>
      <c r="H1700" s="146"/>
      <c r="I1700" s="142"/>
      <c r="J1700" s="142"/>
    </row>
    <row r="1701" spans="2:10" ht="14.25" x14ac:dyDescent="0.2">
      <c r="B1701" s="143">
        <f t="shared" si="32"/>
        <v>0</v>
      </c>
      <c r="C1701" s="138"/>
      <c r="D1701" s="144"/>
      <c r="E1701" s="143"/>
      <c r="F1701" s="143"/>
      <c r="G1701" s="147"/>
      <c r="H1701" s="146"/>
      <c r="I1701" s="142"/>
      <c r="J1701" s="142"/>
    </row>
    <row r="1702" spans="2:10" ht="14.25" x14ac:dyDescent="0.2">
      <c r="B1702" s="143">
        <f t="shared" si="32"/>
        <v>0</v>
      </c>
      <c r="C1702" s="138"/>
      <c r="D1702" s="144"/>
      <c r="E1702" s="143"/>
      <c r="F1702" s="143"/>
      <c r="G1702" s="147"/>
      <c r="H1702" s="146"/>
      <c r="I1702" s="142"/>
      <c r="J1702" s="142"/>
    </row>
    <row r="1703" spans="2:10" ht="14.25" x14ac:dyDescent="0.2">
      <c r="B1703" s="143">
        <f t="shared" si="32"/>
        <v>0</v>
      </c>
      <c r="C1703" s="138"/>
      <c r="D1703" s="144"/>
      <c r="E1703" s="143"/>
      <c r="F1703" s="143"/>
      <c r="G1703" s="147"/>
      <c r="H1703" s="146"/>
      <c r="I1703" s="142"/>
      <c r="J1703" s="142"/>
    </row>
    <row r="1704" spans="2:10" ht="14.25" x14ac:dyDescent="0.2">
      <c r="B1704" s="143">
        <f t="shared" si="32"/>
        <v>0</v>
      </c>
      <c r="C1704" s="138"/>
      <c r="D1704" s="144"/>
      <c r="E1704" s="143"/>
      <c r="F1704" s="143"/>
      <c r="G1704" s="147"/>
      <c r="H1704" s="146"/>
      <c r="I1704" s="142"/>
      <c r="J1704" s="142"/>
    </row>
    <row r="1705" spans="2:10" ht="14.25" x14ac:dyDescent="0.2">
      <c r="B1705" s="143">
        <f t="shared" si="32"/>
        <v>0</v>
      </c>
      <c r="C1705" s="138"/>
      <c r="D1705" s="144"/>
      <c r="E1705" s="143"/>
      <c r="F1705" s="143"/>
      <c r="G1705" s="147"/>
      <c r="H1705" s="146"/>
      <c r="I1705" s="142"/>
      <c r="J1705" s="142"/>
    </row>
    <row r="1706" spans="2:10" ht="14.25" x14ac:dyDescent="0.2">
      <c r="B1706" s="143">
        <f t="shared" si="32"/>
        <v>0</v>
      </c>
      <c r="C1706" s="138"/>
      <c r="D1706" s="144"/>
      <c r="E1706" s="143"/>
      <c r="F1706" s="143"/>
      <c r="G1706" s="147"/>
      <c r="H1706" s="146"/>
      <c r="I1706" s="142"/>
      <c r="J1706" s="142"/>
    </row>
    <row r="1707" spans="2:10" ht="14.25" x14ac:dyDescent="0.2">
      <c r="B1707" s="143">
        <f t="shared" si="32"/>
        <v>0</v>
      </c>
      <c r="C1707" s="138"/>
      <c r="D1707" s="144"/>
      <c r="E1707" s="143"/>
      <c r="F1707" s="143"/>
      <c r="G1707" s="147"/>
      <c r="H1707" s="146"/>
      <c r="I1707" s="142"/>
      <c r="J1707" s="142"/>
    </row>
    <row r="1708" spans="2:10" ht="14.25" x14ac:dyDescent="0.2">
      <c r="B1708" s="143">
        <f t="shared" si="32"/>
        <v>0</v>
      </c>
      <c r="C1708" s="138"/>
      <c r="D1708" s="144"/>
      <c r="E1708" s="143"/>
      <c r="F1708" s="143"/>
      <c r="G1708" s="147"/>
      <c r="H1708" s="146"/>
      <c r="I1708" s="142"/>
      <c r="J1708" s="142"/>
    </row>
    <row r="1709" spans="2:10" ht="14.25" x14ac:dyDescent="0.2">
      <c r="B1709" s="143">
        <f t="shared" si="32"/>
        <v>0</v>
      </c>
      <c r="C1709" s="138"/>
      <c r="D1709" s="144"/>
      <c r="E1709" s="143"/>
      <c r="F1709" s="143"/>
      <c r="G1709" s="147"/>
      <c r="H1709" s="146"/>
      <c r="I1709" s="142"/>
      <c r="J1709" s="142"/>
    </row>
    <row r="1710" spans="2:10" ht="14.25" x14ac:dyDescent="0.2">
      <c r="B1710" s="143">
        <f t="shared" si="32"/>
        <v>0</v>
      </c>
      <c r="C1710" s="138"/>
      <c r="D1710" s="144"/>
      <c r="E1710" s="143"/>
      <c r="F1710" s="143"/>
      <c r="G1710" s="147"/>
      <c r="H1710" s="146"/>
      <c r="I1710" s="142"/>
      <c r="J1710" s="142"/>
    </row>
    <row r="1711" spans="2:10" ht="14.25" x14ac:dyDescent="0.2">
      <c r="B1711" s="143">
        <f t="shared" si="32"/>
        <v>0</v>
      </c>
      <c r="C1711" s="138"/>
      <c r="D1711" s="144"/>
      <c r="E1711" s="143"/>
      <c r="F1711" s="143"/>
      <c r="G1711" s="147"/>
      <c r="H1711" s="146"/>
      <c r="I1711" s="142"/>
      <c r="J1711" s="142"/>
    </row>
    <row r="1712" spans="2:10" ht="14.25" x14ac:dyDescent="0.2">
      <c r="B1712" s="143">
        <f t="shared" si="32"/>
        <v>0</v>
      </c>
      <c r="C1712" s="138"/>
      <c r="D1712" s="144"/>
      <c r="E1712" s="143"/>
      <c r="F1712" s="143"/>
      <c r="G1712" s="147"/>
      <c r="H1712" s="146"/>
      <c r="I1712" s="142"/>
      <c r="J1712" s="142"/>
    </row>
    <row r="1713" spans="2:10" ht="14.25" x14ac:dyDescent="0.2">
      <c r="B1713" s="143">
        <f t="shared" si="32"/>
        <v>0</v>
      </c>
      <c r="C1713" s="138"/>
      <c r="D1713" s="144"/>
      <c r="E1713" s="143"/>
      <c r="F1713" s="143"/>
      <c r="G1713" s="147"/>
      <c r="H1713" s="146"/>
      <c r="I1713" s="142"/>
      <c r="J1713" s="142"/>
    </row>
    <row r="1714" spans="2:10" ht="14.25" x14ac:dyDescent="0.2">
      <c r="B1714" s="143">
        <f t="shared" si="32"/>
        <v>0</v>
      </c>
      <c r="C1714" s="138"/>
      <c r="D1714" s="144"/>
      <c r="E1714" s="143"/>
      <c r="F1714" s="143"/>
      <c r="G1714" s="147"/>
      <c r="H1714" s="146"/>
      <c r="I1714" s="142"/>
      <c r="J1714" s="142"/>
    </row>
    <row r="1715" spans="2:10" ht="14.25" x14ac:dyDescent="0.2">
      <c r="B1715" s="143">
        <f t="shared" si="32"/>
        <v>0</v>
      </c>
      <c r="C1715" s="138"/>
      <c r="D1715" s="144"/>
      <c r="E1715" s="143"/>
      <c r="F1715" s="143"/>
      <c r="G1715" s="147"/>
      <c r="H1715" s="146"/>
      <c r="I1715" s="142"/>
      <c r="J1715" s="142"/>
    </row>
    <row r="1716" spans="2:10" ht="14.25" x14ac:dyDescent="0.2">
      <c r="B1716" s="143">
        <f t="shared" si="32"/>
        <v>0</v>
      </c>
      <c r="C1716" s="138"/>
      <c r="D1716" s="144"/>
      <c r="E1716" s="143"/>
      <c r="F1716" s="143"/>
      <c r="G1716" s="147"/>
      <c r="H1716" s="146"/>
      <c r="I1716" s="142"/>
      <c r="J1716" s="142"/>
    </row>
    <row r="1717" spans="2:10" ht="14.25" x14ac:dyDescent="0.2">
      <c r="B1717" s="143">
        <f t="shared" si="32"/>
        <v>0</v>
      </c>
      <c r="C1717" s="138"/>
      <c r="D1717" s="144"/>
      <c r="E1717" s="143"/>
      <c r="F1717" s="143"/>
      <c r="G1717" s="147"/>
      <c r="H1717" s="146"/>
      <c r="I1717" s="142"/>
      <c r="J1717" s="142"/>
    </row>
    <row r="1718" spans="2:10" ht="14.25" x14ac:dyDescent="0.2">
      <c r="B1718" s="143">
        <f t="shared" si="32"/>
        <v>0</v>
      </c>
      <c r="C1718" s="138"/>
      <c r="D1718" s="144"/>
      <c r="E1718" s="143"/>
      <c r="F1718" s="143"/>
      <c r="G1718" s="147"/>
      <c r="H1718" s="146"/>
      <c r="I1718" s="142"/>
      <c r="J1718" s="142"/>
    </row>
    <row r="1719" spans="2:10" ht="14.25" x14ac:dyDescent="0.2">
      <c r="B1719" s="143">
        <f t="shared" si="32"/>
        <v>0</v>
      </c>
      <c r="C1719" s="138"/>
      <c r="D1719" s="144"/>
      <c r="E1719" s="143"/>
      <c r="F1719" s="143"/>
      <c r="G1719" s="147"/>
      <c r="H1719" s="146"/>
      <c r="I1719" s="142"/>
      <c r="J1719" s="142"/>
    </row>
    <row r="1720" spans="2:10" ht="14.25" x14ac:dyDescent="0.2">
      <c r="B1720" s="143">
        <f t="shared" ref="B1720:B1783" si="33">WEEKNUM(D1720)</f>
        <v>0</v>
      </c>
      <c r="C1720" s="138"/>
      <c r="D1720" s="144"/>
      <c r="E1720" s="143"/>
      <c r="F1720" s="143"/>
      <c r="G1720" s="147"/>
      <c r="H1720" s="146"/>
      <c r="I1720" s="142"/>
      <c r="J1720" s="142"/>
    </row>
    <row r="1721" spans="2:10" ht="14.25" x14ac:dyDescent="0.2">
      <c r="B1721" s="143">
        <f t="shared" si="33"/>
        <v>0</v>
      </c>
      <c r="C1721" s="138"/>
      <c r="D1721" s="144"/>
      <c r="E1721" s="143"/>
      <c r="F1721" s="143"/>
      <c r="G1721" s="147"/>
      <c r="H1721" s="146"/>
      <c r="I1721" s="142"/>
      <c r="J1721" s="142"/>
    </row>
    <row r="1722" spans="2:10" ht="14.25" x14ac:dyDescent="0.2">
      <c r="B1722" s="143">
        <f t="shared" si="33"/>
        <v>0</v>
      </c>
      <c r="C1722" s="138"/>
      <c r="D1722" s="144"/>
      <c r="E1722" s="143"/>
      <c r="F1722" s="143"/>
      <c r="G1722" s="147"/>
      <c r="H1722" s="146"/>
      <c r="I1722" s="142"/>
      <c r="J1722" s="142"/>
    </row>
    <row r="1723" spans="2:10" ht="14.25" x14ac:dyDescent="0.2">
      <c r="B1723" s="143">
        <f t="shared" si="33"/>
        <v>0</v>
      </c>
      <c r="C1723" s="138"/>
      <c r="D1723" s="144"/>
      <c r="E1723" s="143"/>
      <c r="F1723" s="143"/>
      <c r="G1723" s="147"/>
      <c r="H1723" s="146"/>
      <c r="I1723" s="142"/>
      <c r="J1723" s="142"/>
    </row>
    <row r="1724" spans="2:10" ht="14.25" x14ac:dyDescent="0.2">
      <c r="B1724" s="143">
        <f t="shared" si="33"/>
        <v>0</v>
      </c>
      <c r="C1724" s="138"/>
      <c r="D1724" s="144"/>
      <c r="E1724" s="143"/>
      <c r="F1724" s="143"/>
      <c r="G1724" s="147"/>
      <c r="H1724" s="146"/>
      <c r="I1724" s="142"/>
      <c r="J1724" s="142"/>
    </row>
    <row r="1725" spans="2:10" ht="14.25" x14ac:dyDescent="0.2">
      <c r="B1725" s="143">
        <f t="shared" si="33"/>
        <v>0</v>
      </c>
      <c r="C1725" s="138"/>
      <c r="D1725" s="144"/>
      <c r="E1725" s="143"/>
      <c r="F1725" s="143"/>
      <c r="G1725" s="147"/>
      <c r="H1725" s="146"/>
      <c r="I1725" s="142"/>
      <c r="J1725" s="142"/>
    </row>
    <row r="1726" spans="2:10" ht="14.25" x14ac:dyDescent="0.2">
      <c r="B1726" s="143">
        <f t="shared" si="33"/>
        <v>0</v>
      </c>
      <c r="C1726" s="138"/>
      <c r="D1726" s="144"/>
      <c r="E1726" s="143"/>
      <c r="F1726" s="143"/>
      <c r="G1726" s="147"/>
      <c r="H1726" s="146"/>
      <c r="I1726" s="142"/>
      <c r="J1726" s="142"/>
    </row>
    <row r="1727" spans="2:10" ht="14.25" x14ac:dyDescent="0.2">
      <c r="B1727" s="143">
        <f t="shared" si="33"/>
        <v>0</v>
      </c>
      <c r="C1727" s="138"/>
      <c r="D1727" s="144"/>
      <c r="E1727" s="143"/>
      <c r="F1727" s="143"/>
      <c r="G1727" s="147"/>
      <c r="H1727" s="146"/>
      <c r="I1727" s="142"/>
      <c r="J1727" s="142"/>
    </row>
    <row r="1728" spans="2:10" ht="14.25" x14ac:dyDescent="0.2">
      <c r="B1728" s="143">
        <f t="shared" si="33"/>
        <v>0</v>
      </c>
      <c r="C1728" s="138"/>
      <c r="D1728" s="144"/>
      <c r="E1728" s="143"/>
      <c r="F1728" s="143"/>
      <c r="G1728" s="147"/>
      <c r="H1728" s="146"/>
      <c r="I1728" s="142"/>
      <c r="J1728" s="142"/>
    </row>
    <row r="1729" spans="2:10" ht="14.25" x14ac:dyDescent="0.2">
      <c r="B1729" s="143">
        <f t="shared" si="33"/>
        <v>0</v>
      </c>
      <c r="C1729" s="138"/>
      <c r="D1729" s="144"/>
      <c r="E1729" s="143"/>
      <c r="F1729" s="143"/>
      <c r="G1729" s="147"/>
      <c r="H1729" s="146"/>
      <c r="I1729" s="142"/>
      <c r="J1729" s="142"/>
    </row>
    <row r="1730" spans="2:10" ht="14.25" x14ac:dyDescent="0.2">
      <c r="B1730" s="143">
        <f t="shared" si="33"/>
        <v>0</v>
      </c>
      <c r="C1730" s="138"/>
      <c r="D1730" s="144"/>
      <c r="E1730" s="143"/>
      <c r="F1730" s="143"/>
      <c r="G1730" s="147"/>
      <c r="H1730" s="146"/>
      <c r="I1730" s="142"/>
      <c r="J1730" s="142"/>
    </row>
    <row r="1731" spans="2:10" ht="14.25" x14ac:dyDescent="0.2">
      <c r="B1731" s="143">
        <f t="shared" si="33"/>
        <v>0</v>
      </c>
      <c r="C1731" s="138"/>
      <c r="D1731" s="144"/>
      <c r="E1731" s="143"/>
      <c r="F1731" s="143"/>
      <c r="G1731" s="147"/>
      <c r="H1731" s="146"/>
      <c r="I1731" s="142"/>
      <c r="J1731" s="142"/>
    </row>
    <row r="1732" spans="2:10" ht="14.25" x14ac:dyDescent="0.2">
      <c r="B1732" s="143">
        <f t="shared" si="33"/>
        <v>0</v>
      </c>
      <c r="C1732" s="138"/>
      <c r="D1732" s="144"/>
      <c r="E1732" s="143"/>
      <c r="F1732" s="143"/>
      <c r="G1732" s="147"/>
      <c r="H1732" s="146"/>
      <c r="I1732" s="142"/>
      <c r="J1732" s="142"/>
    </row>
    <row r="1733" spans="2:10" ht="14.25" x14ac:dyDescent="0.2">
      <c r="B1733" s="143">
        <f t="shared" si="33"/>
        <v>0</v>
      </c>
      <c r="C1733" s="138"/>
      <c r="D1733" s="144"/>
      <c r="E1733" s="143"/>
      <c r="F1733" s="143"/>
      <c r="G1733" s="147"/>
      <c r="H1733" s="146"/>
      <c r="I1733" s="142"/>
      <c r="J1733" s="142"/>
    </row>
    <row r="1734" spans="2:10" ht="14.25" x14ac:dyDescent="0.2">
      <c r="B1734" s="143">
        <f t="shared" si="33"/>
        <v>0</v>
      </c>
      <c r="C1734" s="138"/>
      <c r="D1734" s="144"/>
      <c r="E1734" s="143"/>
      <c r="F1734" s="143"/>
      <c r="G1734" s="147"/>
      <c r="H1734" s="146"/>
      <c r="I1734" s="142"/>
      <c r="J1734" s="142"/>
    </row>
    <row r="1735" spans="2:10" ht="14.25" x14ac:dyDescent="0.2">
      <c r="B1735" s="143">
        <f t="shared" si="33"/>
        <v>0</v>
      </c>
      <c r="C1735" s="138"/>
      <c r="D1735" s="144"/>
      <c r="E1735" s="143"/>
      <c r="F1735" s="143"/>
      <c r="G1735" s="147"/>
      <c r="H1735" s="146"/>
      <c r="I1735" s="142"/>
      <c r="J1735" s="142"/>
    </row>
    <row r="1736" spans="2:10" ht="14.25" x14ac:dyDescent="0.2">
      <c r="B1736" s="143">
        <f t="shared" si="33"/>
        <v>0</v>
      </c>
      <c r="C1736" s="138"/>
      <c r="D1736" s="144"/>
      <c r="E1736" s="143"/>
      <c r="F1736" s="143"/>
      <c r="G1736" s="147"/>
      <c r="H1736" s="146"/>
      <c r="I1736" s="142"/>
      <c r="J1736" s="142"/>
    </row>
    <row r="1737" spans="2:10" ht="14.25" x14ac:dyDescent="0.2">
      <c r="B1737" s="143">
        <f t="shared" si="33"/>
        <v>0</v>
      </c>
      <c r="C1737" s="138"/>
      <c r="D1737" s="144"/>
      <c r="E1737" s="143"/>
      <c r="F1737" s="143"/>
      <c r="G1737" s="147"/>
      <c r="H1737" s="146"/>
      <c r="I1737" s="142"/>
      <c r="J1737" s="142"/>
    </row>
    <row r="1738" spans="2:10" ht="14.25" x14ac:dyDescent="0.2">
      <c r="B1738" s="143">
        <f t="shared" si="33"/>
        <v>0</v>
      </c>
      <c r="C1738" s="138"/>
      <c r="D1738" s="144"/>
      <c r="E1738" s="143"/>
      <c r="F1738" s="143"/>
      <c r="G1738" s="147"/>
      <c r="H1738" s="146"/>
      <c r="I1738" s="142"/>
      <c r="J1738" s="142"/>
    </row>
    <row r="1739" spans="2:10" ht="14.25" x14ac:dyDescent="0.2">
      <c r="B1739" s="143">
        <f t="shared" si="33"/>
        <v>0</v>
      </c>
      <c r="C1739" s="143"/>
      <c r="D1739" s="144"/>
      <c r="E1739" s="143"/>
      <c r="F1739" s="143"/>
      <c r="G1739" s="147"/>
      <c r="H1739" s="146"/>
      <c r="I1739" s="142"/>
      <c r="J1739" s="142"/>
    </row>
    <row r="1740" spans="2:10" ht="14.25" x14ac:dyDescent="0.2">
      <c r="B1740" s="143">
        <f t="shared" si="33"/>
        <v>0</v>
      </c>
      <c r="C1740" s="143"/>
      <c r="D1740" s="144"/>
      <c r="E1740" s="143"/>
      <c r="F1740" s="143"/>
      <c r="G1740" s="147"/>
      <c r="H1740" s="146"/>
      <c r="I1740" s="142"/>
      <c r="J1740" s="142"/>
    </row>
    <row r="1741" spans="2:10" ht="14.25" x14ac:dyDescent="0.2">
      <c r="B1741" s="143">
        <f t="shared" si="33"/>
        <v>0</v>
      </c>
      <c r="C1741" s="143"/>
      <c r="D1741" s="144"/>
      <c r="E1741" s="143"/>
      <c r="F1741" s="143"/>
      <c r="G1741" s="147"/>
      <c r="H1741" s="146"/>
      <c r="I1741" s="142"/>
      <c r="J1741" s="142"/>
    </row>
    <row r="1742" spans="2:10" ht="14.25" x14ac:dyDescent="0.2">
      <c r="B1742" s="143">
        <f t="shared" si="33"/>
        <v>0</v>
      </c>
      <c r="C1742" s="143"/>
      <c r="D1742" s="144"/>
      <c r="E1742" s="143"/>
      <c r="F1742" s="143"/>
      <c r="G1742" s="147"/>
      <c r="H1742" s="146"/>
      <c r="I1742" s="142"/>
      <c r="J1742" s="142"/>
    </row>
    <row r="1743" spans="2:10" ht="14.25" x14ac:dyDescent="0.2">
      <c r="B1743" s="143">
        <f t="shared" si="33"/>
        <v>0</v>
      </c>
      <c r="C1743" s="143"/>
      <c r="D1743" s="144"/>
      <c r="E1743" s="143"/>
      <c r="F1743" s="143"/>
      <c r="G1743" s="147"/>
      <c r="H1743" s="146"/>
      <c r="I1743" s="142"/>
      <c r="J1743" s="142"/>
    </row>
    <row r="1744" spans="2:10" ht="14.25" x14ac:dyDescent="0.2">
      <c r="B1744" s="143">
        <f t="shared" si="33"/>
        <v>0</v>
      </c>
      <c r="C1744" s="143"/>
      <c r="D1744" s="144"/>
      <c r="E1744" s="143"/>
      <c r="F1744" s="143"/>
      <c r="G1744" s="147"/>
      <c r="H1744" s="146"/>
      <c r="I1744" s="142"/>
      <c r="J1744" s="142"/>
    </row>
    <row r="1745" spans="2:10" ht="14.25" x14ac:dyDescent="0.2">
      <c r="B1745" s="143">
        <f t="shared" si="33"/>
        <v>0</v>
      </c>
      <c r="C1745" s="143"/>
      <c r="D1745" s="144"/>
      <c r="E1745" s="143"/>
      <c r="F1745" s="143"/>
      <c r="G1745" s="147"/>
      <c r="H1745" s="146"/>
      <c r="I1745" s="142"/>
      <c r="J1745" s="142"/>
    </row>
    <row r="1746" spans="2:10" ht="14.25" x14ac:dyDescent="0.2">
      <c r="B1746" s="143">
        <f t="shared" si="33"/>
        <v>0</v>
      </c>
      <c r="C1746" s="143"/>
      <c r="D1746" s="144"/>
      <c r="E1746" s="143"/>
      <c r="F1746" s="143"/>
      <c r="G1746" s="147"/>
      <c r="H1746" s="146"/>
      <c r="I1746" s="142"/>
      <c r="J1746" s="142"/>
    </row>
    <row r="1747" spans="2:10" ht="14.25" x14ac:dyDescent="0.2">
      <c r="B1747" s="143">
        <f t="shared" si="33"/>
        <v>0</v>
      </c>
      <c r="C1747" s="143"/>
      <c r="D1747" s="144"/>
      <c r="E1747" s="143"/>
      <c r="F1747" s="143"/>
      <c r="G1747" s="147"/>
      <c r="H1747" s="146"/>
      <c r="I1747" s="142"/>
      <c r="J1747" s="142"/>
    </row>
    <row r="1748" spans="2:10" ht="14.25" x14ac:dyDescent="0.2">
      <c r="B1748" s="143">
        <f t="shared" si="33"/>
        <v>0</v>
      </c>
      <c r="C1748" s="143"/>
      <c r="D1748" s="144"/>
      <c r="E1748" s="143"/>
      <c r="F1748" s="143"/>
      <c r="G1748" s="147"/>
      <c r="H1748" s="146"/>
      <c r="I1748" s="142"/>
      <c r="J1748" s="142"/>
    </row>
    <row r="1749" spans="2:10" ht="14.25" x14ac:dyDescent="0.2">
      <c r="B1749" s="143">
        <f t="shared" si="33"/>
        <v>0</v>
      </c>
      <c r="C1749" s="143"/>
      <c r="D1749" s="144"/>
      <c r="E1749" s="143"/>
      <c r="F1749" s="143"/>
      <c r="G1749" s="147"/>
      <c r="H1749" s="146"/>
      <c r="I1749" s="142"/>
      <c r="J1749" s="142"/>
    </row>
    <row r="1750" spans="2:10" ht="14.25" x14ac:dyDescent="0.2">
      <c r="B1750" s="143">
        <f t="shared" si="33"/>
        <v>0</v>
      </c>
      <c r="C1750" s="143"/>
      <c r="D1750" s="144"/>
      <c r="E1750" s="143"/>
      <c r="F1750" s="143"/>
      <c r="G1750" s="147"/>
      <c r="H1750" s="146"/>
      <c r="I1750" s="142"/>
      <c r="J1750" s="142"/>
    </row>
    <row r="1751" spans="2:10" ht="14.25" x14ac:dyDescent="0.2">
      <c r="B1751" s="143">
        <f t="shared" si="33"/>
        <v>0</v>
      </c>
      <c r="C1751" s="143"/>
      <c r="D1751" s="144"/>
      <c r="E1751" s="143"/>
      <c r="F1751" s="143"/>
      <c r="G1751" s="147"/>
      <c r="H1751" s="146"/>
      <c r="I1751" s="142"/>
      <c r="J1751" s="142"/>
    </row>
    <row r="1752" spans="2:10" ht="14.25" x14ac:dyDescent="0.2">
      <c r="B1752" s="143">
        <f t="shared" si="33"/>
        <v>0</v>
      </c>
      <c r="C1752" s="143"/>
      <c r="D1752" s="144"/>
      <c r="E1752" s="143"/>
      <c r="F1752" s="143"/>
      <c r="G1752" s="147"/>
      <c r="H1752" s="146"/>
      <c r="I1752" s="142"/>
      <c r="J1752" s="142"/>
    </row>
    <row r="1753" spans="2:10" ht="14.25" x14ac:dyDescent="0.2">
      <c r="B1753" s="143">
        <f t="shared" si="33"/>
        <v>0</v>
      </c>
      <c r="C1753" s="143"/>
      <c r="D1753" s="144"/>
      <c r="E1753" s="143"/>
      <c r="F1753" s="143"/>
      <c r="G1753" s="147"/>
      <c r="H1753" s="146"/>
      <c r="I1753" s="142"/>
      <c r="J1753" s="142"/>
    </row>
    <row r="1754" spans="2:10" ht="14.25" x14ac:dyDescent="0.2">
      <c r="B1754" s="143">
        <f t="shared" si="33"/>
        <v>0</v>
      </c>
      <c r="C1754" s="143"/>
      <c r="D1754" s="144"/>
      <c r="E1754" s="143"/>
      <c r="F1754" s="143"/>
      <c r="G1754" s="147"/>
      <c r="H1754" s="146"/>
      <c r="I1754" s="142"/>
      <c r="J1754" s="142"/>
    </row>
    <row r="1755" spans="2:10" ht="14.25" x14ac:dyDescent="0.2">
      <c r="B1755" s="143">
        <f t="shared" si="33"/>
        <v>0</v>
      </c>
      <c r="C1755" s="143"/>
      <c r="D1755" s="144"/>
      <c r="E1755" s="143"/>
      <c r="F1755" s="143"/>
      <c r="G1755" s="147"/>
      <c r="H1755" s="146"/>
      <c r="I1755" s="142"/>
      <c r="J1755" s="142"/>
    </row>
    <row r="1756" spans="2:10" ht="14.25" x14ac:dyDescent="0.2">
      <c r="B1756" s="143">
        <f t="shared" si="33"/>
        <v>0</v>
      </c>
      <c r="C1756" s="143"/>
      <c r="D1756" s="144"/>
      <c r="E1756" s="143"/>
      <c r="F1756" s="143"/>
      <c r="G1756" s="147"/>
      <c r="H1756" s="146"/>
      <c r="I1756" s="142"/>
      <c r="J1756" s="142"/>
    </row>
    <row r="1757" spans="2:10" ht="14.25" x14ac:dyDescent="0.2">
      <c r="B1757" s="143">
        <f t="shared" si="33"/>
        <v>0</v>
      </c>
      <c r="C1757" s="143"/>
      <c r="D1757" s="144"/>
      <c r="E1757" s="143"/>
      <c r="F1757" s="143"/>
      <c r="G1757" s="147"/>
      <c r="H1757" s="146"/>
      <c r="I1757" s="142"/>
      <c r="J1757" s="142"/>
    </row>
    <row r="1758" spans="2:10" ht="14.25" x14ac:dyDescent="0.2">
      <c r="B1758" s="143">
        <f t="shared" si="33"/>
        <v>0</v>
      </c>
      <c r="C1758" s="143"/>
      <c r="D1758" s="144"/>
      <c r="E1758" s="143"/>
      <c r="F1758" s="143"/>
      <c r="G1758" s="147"/>
      <c r="H1758" s="146"/>
      <c r="I1758" s="142"/>
      <c r="J1758" s="142"/>
    </row>
    <row r="1759" spans="2:10" ht="14.25" x14ac:dyDescent="0.2">
      <c r="B1759" s="143">
        <f t="shared" si="33"/>
        <v>0</v>
      </c>
      <c r="C1759" s="143"/>
      <c r="D1759" s="144"/>
      <c r="E1759" s="143"/>
      <c r="F1759" s="143"/>
      <c r="G1759" s="147"/>
      <c r="H1759" s="146"/>
      <c r="I1759" s="142"/>
      <c r="J1759" s="142"/>
    </row>
    <row r="1760" spans="2:10" ht="14.25" x14ac:dyDescent="0.2">
      <c r="B1760" s="143">
        <f t="shared" si="33"/>
        <v>0</v>
      </c>
      <c r="C1760" s="143"/>
      <c r="D1760" s="144"/>
      <c r="E1760" s="143"/>
      <c r="F1760" s="143"/>
      <c r="G1760" s="147"/>
      <c r="H1760" s="146"/>
      <c r="I1760" s="142"/>
      <c r="J1760" s="142"/>
    </row>
    <row r="1761" spans="2:10" ht="14.25" x14ac:dyDescent="0.2">
      <c r="B1761" s="143">
        <f t="shared" si="33"/>
        <v>0</v>
      </c>
      <c r="C1761" s="143"/>
      <c r="D1761" s="144"/>
      <c r="E1761" s="143"/>
      <c r="F1761" s="143"/>
      <c r="G1761" s="147"/>
      <c r="H1761" s="146"/>
      <c r="I1761" s="142"/>
      <c r="J1761" s="142"/>
    </row>
    <row r="1762" spans="2:10" ht="14.25" x14ac:dyDescent="0.2">
      <c r="B1762" s="143">
        <f t="shared" si="33"/>
        <v>0</v>
      </c>
      <c r="C1762" s="143"/>
      <c r="D1762" s="144"/>
      <c r="E1762" s="143"/>
      <c r="F1762" s="143"/>
      <c r="G1762" s="147"/>
      <c r="H1762" s="146"/>
      <c r="I1762" s="142"/>
      <c r="J1762" s="142"/>
    </row>
    <row r="1763" spans="2:10" ht="14.25" x14ac:dyDescent="0.2">
      <c r="B1763" s="143">
        <f t="shared" si="33"/>
        <v>0</v>
      </c>
      <c r="C1763" s="143"/>
      <c r="D1763" s="144"/>
      <c r="E1763" s="143"/>
      <c r="F1763" s="143"/>
      <c r="G1763" s="147"/>
      <c r="H1763" s="146"/>
      <c r="I1763" s="142"/>
      <c r="J1763" s="142"/>
    </row>
    <row r="1764" spans="2:10" ht="14.25" x14ac:dyDescent="0.2">
      <c r="B1764" s="143">
        <f t="shared" si="33"/>
        <v>0</v>
      </c>
      <c r="C1764" s="143"/>
      <c r="D1764" s="144"/>
      <c r="E1764" s="143"/>
      <c r="F1764" s="143"/>
      <c r="G1764" s="147"/>
      <c r="H1764" s="146"/>
      <c r="I1764" s="142"/>
      <c r="J1764" s="142"/>
    </row>
    <row r="1765" spans="2:10" ht="14.25" x14ac:dyDescent="0.2">
      <c r="B1765" s="143">
        <f t="shared" si="33"/>
        <v>0</v>
      </c>
      <c r="C1765" s="143"/>
      <c r="D1765" s="144"/>
      <c r="E1765" s="143"/>
      <c r="F1765" s="143"/>
      <c r="G1765" s="147"/>
      <c r="H1765" s="146"/>
      <c r="I1765" s="142"/>
      <c r="J1765" s="142"/>
    </row>
    <row r="1766" spans="2:10" ht="14.25" x14ac:dyDescent="0.2">
      <c r="B1766" s="143">
        <f t="shared" si="33"/>
        <v>0</v>
      </c>
      <c r="C1766" s="143"/>
      <c r="D1766" s="144"/>
      <c r="E1766" s="143"/>
      <c r="F1766" s="143"/>
      <c r="G1766" s="147"/>
      <c r="H1766" s="146"/>
      <c r="I1766" s="142"/>
      <c r="J1766" s="142"/>
    </row>
    <row r="1767" spans="2:10" ht="14.25" x14ac:dyDescent="0.2">
      <c r="B1767" s="143">
        <f t="shared" si="33"/>
        <v>0</v>
      </c>
      <c r="C1767" s="143"/>
      <c r="D1767" s="144"/>
      <c r="E1767" s="143"/>
      <c r="F1767" s="143"/>
      <c r="G1767" s="147"/>
      <c r="H1767" s="146"/>
      <c r="I1767" s="142"/>
      <c r="J1767" s="142"/>
    </row>
    <row r="1768" spans="2:10" ht="14.25" x14ac:dyDescent="0.2">
      <c r="B1768" s="143">
        <f t="shared" si="33"/>
        <v>0</v>
      </c>
      <c r="C1768" s="143"/>
      <c r="D1768" s="144"/>
      <c r="E1768" s="143"/>
      <c r="F1768" s="143"/>
      <c r="G1768" s="147"/>
      <c r="H1768" s="146"/>
      <c r="I1768" s="142"/>
      <c r="J1768" s="142"/>
    </row>
    <row r="1769" spans="2:10" ht="14.25" x14ac:dyDescent="0.2">
      <c r="B1769" s="143">
        <f t="shared" si="33"/>
        <v>0</v>
      </c>
      <c r="C1769" s="143"/>
      <c r="D1769" s="144"/>
      <c r="E1769" s="143"/>
      <c r="F1769" s="143"/>
      <c r="G1769" s="147"/>
      <c r="H1769" s="146"/>
      <c r="I1769" s="142"/>
      <c r="J1769" s="142"/>
    </row>
    <row r="1770" spans="2:10" ht="14.25" x14ac:dyDescent="0.2">
      <c r="B1770" s="143">
        <f t="shared" si="33"/>
        <v>0</v>
      </c>
      <c r="C1770" s="143"/>
      <c r="D1770" s="144"/>
      <c r="E1770" s="143"/>
      <c r="F1770" s="143"/>
      <c r="G1770" s="147"/>
      <c r="H1770" s="146"/>
      <c r="I1770" s="142"/>
      <c r="J1770" s="142"/>
    </row>
    <row r="1771" spans="2:10" ht="14.25" x14ac:dyDescent="0.2">
      <c r="B1771" s="143">
        <f t="shared" si="33"/>
        <v>0</v>
      </c>
      <c r="C1771" s="143"/>
      <c r="D1771" s="144"/>
      <c r="E1771" s="143"/>
      <c r="F1771" s="143"/>
      <c r="G1771" s="147"/>
      <c r="H1771" s="146"/>
      <c r="I1771" s="142"/>
      <c r="J1771" s="142"/>
    </row>
    <row r="1772" spans="2:10" ht="14.25" x14ac:dyDescent="0.2">
      <c r="B1772" s="143">
        <f t="shared" si="33"/>
        <v>0</v>
      </c>
      <c r="C1772" s="143"/>
      <c r="D1772" s="144"/>
      <c r="E1772" s="143"/>
      <c r="F1772" s="143"/>
      <c r="G1772" s="147"/>
      <c r="H1772" s="146"/>
      <c r="I1772" s="142"/>
      <c r="J1772" s="142"/>
    </row>
    <row r="1773" spans="2:10" ht="14.25" x14ac:dyDescent="0.2">
      <c r="B1773" s="143">
        <f t="shared" si="33"/>
        <v>0</v>
      </c>
      <c r="C1773" s="143"/>
      <c r="D1773" s="144"/>
      <c r="E1773" s="143"/>
      <c r="F1773" s="143"/>
      <c r="G1773" s="147"/>
      <c r="H1773" s="146"/>
      <c r="I1773" s="142"/>
      <c r="J1773" s="142"/>
    </row>
    <row r="1774" spans="2:10" ht="14.25" x14ac:dyDescent="0.2">
      <c r="B1774" s="143">
        <f t="shared" si="33"/>
        <v>0</v>
      </c>
      <c r="C1774" s="143"/>
      <c r="D1774" s="144"/>
      <c r="E1774" s="143"/>
      <c r="F1774" s="143"/>
      <c r="G1774" s="147"/>
      <c r="H1774" s="146"/>
      <c r="I1774" s="142"/>
      <c r="J1774" s="142"/>
    </row>
    <row r="1775" spans="2:10" ht="14.25" x14ac:dyDescent="0.2">
      <c r="B1775" s="143">
        <f t="shared" si="33"/>
        <v>0</v>
      </c>
      <c r="C1775" s="143"/>
      <c r="D1775" s="144"/>
      <c r="E1775" s="143"/>
      <c r="F1775" s="143"/>
      <c r="G1775" s="147"/>
      <c r="H1775" s="146"/>
      <c r="I1775" s="142"/>
      <c r="J1775" s="142"/>
    </row>
    <row r="1776" spans="2:10" ht="14.25" x14ac:dyDescent="0.2">
      <c r="B1776" s="143">
        <f t="shared" si="33"/>
        <v>0</v>
      </c>
      <c r="C1776" s="143"/>
      <c r="D1776" s="144"/>
      <c r="E1776" s="143"/>
      <c r="F1776" s="143"/>
      <c r="G1776" s="147"/>
      <c r="H1776" s="146"/>
      <c r="I1776" s="142"/>
      <c r="J1776" s="142"/>
    </row>
    <row r="1777" spans="2:10" ht="14.25" x14ac:dyDescent="0.2">
      <c r="B1777" s="143">
        <f t="shared" si="33"/>
        <v>0</v>
      </c>
      <c r="C1777" s="143"/>
      <c r="D1777" s="144"/>
      <c r="E1777" s="143"/>
      <c r="F1777" s="143"/>
      <c r="G1777" s="147"/>
      <c r="H1777" s="146"/>
      <c r="I1777" s="142"/>
      <c r="J1777" s="142"/>
    </row>
    <row r="1778" spans="2:10" ht="14.25" x14ac:dyDescent="0.2">
      <c r="B1778" s="143">
        <f t="shared" si="33"/>
        <v>0</v>
      </c>
      <c r="C1778" s="143"/>
      <c r="D1778" s="144"/>
      <c r="E1778" s="143"/>
      <c r="F1778" s="143"/>
      <c r="G1778" s="147"/>
      <c r="H1778" s="146"/>
      <c r="I1778" s="142"/>
      <c r="J1778" s="142"/>
    </row>
    <row r="1779" spans="2:10" ht="14.25" x14ac:dyDescent="0.2">
      <c r="B1779" s="143">
        <f t="shared" si="33"/>
        <v>0</v>
      </c>
      <c r="C1779" s="143"/>
      <c r="D1779" s="144"/>
      <c r="E1779" s="143"/>
      <c r="F1779" s="143"/>
      <c r="G1779" s="147"/>
      <c r="H1779" s="146"/>
      <c r="I1779" s="142"/>
      <c r="J1779" s="142"/>
    </row>
    <row r="1780" spans="2:10" ht="14.25" x14ac:dyDescent="0.2">
      <c r="B1780" s="143">
        <f t="shared" si="33"/>
        <v>0</v>
      </c>
      <c r="C1780" s="143"/>
      <c r="D1780" s="144"/>
      <c r="E1780" s="143"/>
      <c r="F1780" s="143"/>
      <c r="G1780" s="147"/>
      <c r="H1780" s="146"/>
      <c r="I1780" s="142"/>
      <c r="J1780" s="142"/>
    </row>
    <row r="1781" spans="2:10" ht="14.25" x14ac:dyDescent="0.2">
      <c r="B1781" s="143">
        <f t="shared" si="33"/>
        <v>0</v>
      </c>
      <c r="C1781" s="143"/>
      <c r="D1781" s="144"/>
      <c r="E1781" s="143"/>
      <c r="F1781" s="143"/>
      <c r="G1781" s="147"/>
      <c r="H1781" s="146"/>
      <c r="I1781" s="142"/>
      <c r="J1781" s="142"/>
    </row>
    <row r="1782" spans="2:10" ht="14.25" x14ac:dyDescent="0.2">
      <c r="B1782" s="143">
        <f t="shared" si="33"/>
        <v>0</v>
      </c>
      <c r="C1782" s="143"/>
      <c r="D1782" s="144"/>
      <c r="E1782" s="143"/>
      <c r="F1782" s="143"/>
      <c r="G1782" s="147"/>
      <c r="H1782" s="146"/>
      <c r="I1782" s="142"/>
      <c r="J1782" s="142"/>
    </row>
    <row r="1783" spans="2:10" ht="14.25" x14ac:dyDescent="0.2">
      <c r="B1783" s="143">
        <f t="shared" si="33"/>
        <v>0</v>
      </c>
      <c r="C1783" s="143"/>
      <c r="D1783" s="144"/>
      <c r="E1783" s="143"/>
      <c r="F1783" s="143"/>
      <c r="G1783" s="147"/>
      <c r="H1783" s="146"/>
      <c r="I1783" s="142"/>
      <c r="J1783" s="142"/>
    </row>
    <row r="1784" spans="2:10" ht="14.25" x14ac:dyDescent="0.2">
      <c r="B1784" s="143">
        <f t="shared" ref="B1784:B1847" si="34">WEEKNUM(D1784)</f>
        <v>0</v>
      </c>
      <c r="C1784" s="143"/>
      <c r="D1784" s="144"/>
      <c r="E1784" s="143"/>
      <c r="F1784" s="143"/>
      <c r="G1784" s="147"/>
      <c r="H1784" s="146"/>
      <c r="I1784" s="142"/>
      <c r="J1784" s="142"/>
    </row>
    <row r="1785" spans="2:10" ht="14.25" x14ac:dyDescent="0.2">
      <c r="B1785" s="143">
        <f t="shared" si="34"/>
        <v>0</v>
      </c>
      <c r="C1785" s="143"/>
      <c r="D1785" s="144"/>
      <c r="E1785" s="143"/>
      <c r="F1785" s="143"/>
      <c r="G1785" s="147"/>
      <c r="H1785" s="146"/>
      <c r="I1785" s="142"/>
      <c r="J1785" s="142"/>
    </row>
    <row r="1786" spans="2:10" ht="14.25" x14ac:dyDescent="0.2">
      <c r="B1786" s="143">
        <f t="shared" si="34"/>
        <v>0</v>
      </c>
      <c r="C1786" s="143"/>
      <c r="D1786" s="144"/>
      <c r="E1786" s="143"/>
      <c r="F1786" s="143"/>
      <c r="G1786" s="147"/>
      <c r="H1786" s="146"/>
      <c r="I1786" s="142"/>
      <c r="J1786" s="142"/>
    </row>
    <row r="1787" spans="2:10" ht="14.25" x14ac:dyDescent="0.2">
      <c r="B1787" s="143">
        <f t="shared" si="34"/>
        <v>0</v>
      </c>
      <c r="C1787" s="143"/>
      <c r="D1787" s="144"/>
      <c r="E1787" s="143"/>
      <c r="F1787" s="143"/>
      <c r="G1787" s="147"/>
      <c r="H1787" s="146"/>
      <c r="I1787" s="142"/>
      <c r="J1787" s="142"/>
    </row>
    <row r="1788" spans="2:10" ht="14.25" x14ac:dyDescent="0.2">
      <c r="B1788" s="143">
        <f t="shared" si="34"/>
        <v>0</v>
      </c>
      <c r="C1788" s="143"/>
      <c r="D1788" s="144"/>
      <c r="E1788" s="143"/>
      <c r="F1788" s="143"/>
      <c r="G1788" s="147"/>
      <c r="H1788" s="146"/>
      <c r="I1788" s="142"/>
      <c r="J1788" s="142"/>
    </row>
    <row r="1789" spans="2:10" ht="14.25" x14ac:dyDescent="0.2">
      <c r="B1789" s="143">
        <f t="shared" si="34"/>
        <v>0</v>
      </c>
      <c r="C1789" s="143"/>
      <c r="D1789" s="144"/>
      <c r="E1789" s="143"/>
      <c r="F1789" s="143"/>
      <c r="G1789" s="147"/>
      <c r="H1789" s="146"/>
      <c r="I1789" s="142"/>
      <c r="J1789" s="142"/>
    </row>
    <row r="1790" spans="2:10" ht="14.25" x14ac:dyDescent="0.2">
      <c r="B1790" s="143">
        <f t="shared" si="34"/>
        <v>0</v>
      </c>
      <c r="C1790" s="143"/>
      <c r="D1790" s="144"/>
      <c r="E1790" s="143"/>
      <c r="F1790" s="143"/>
      <c r="G1790" s="147"/>
      <c r="H1790" s="146"/>
      <c r="I1790" s="142"/>
      <c r="J1790" s="142"/>
    </row>
    <row r="1791" spans="2:10" ht="14.25" x14ac:dyDescent="0.2">
      <c r="B1791" s="143">
        <f t="shared" si="34"/>
        <v>0</v>
      </c>
      <c r="C1791" s="143"/>
      <c r="D1791" s="144"/>
      <c r="E1791" s="143"/>
      <c r="F1791" s="143"/>
      <c r="G1791" s="149"/>
      <c r="H1791" s="150"/>
      <c r="I1791" s="142"/>
      <c r="J1791" s="142"/>
    </row>
    <row r="1792" spans="2:10" ht="14.25" x14ac:dyDescent="0.2">
      <c r="B1792" s="143">
        <f t="shared" si="34"/>
        <v>0</v>
      </c>
      <c r="C1792" s="143"/>
      <c r="D1792" s="144"/>
      <c r="E1792" s="143"/>
      <c r="F1792" s="143"/>
      <c r="G1792" s="147"/>
      <c r="H1792" s="146"/>
      <c r="I1792" s="142"/>
      <c r="J1792" s="142"/>
    </row>
    <row r="1793" spans="2:10" ht="14.25" x14ac:dyDescent="0.2">
      <c r="B1793" s="143">
        <f t="shared" si="34"/>
        <v>0</v>
      </c>
      <c r="C1793" s="143"/>
      <c r="D1793" s="144"/>
      <c r="E1793" s="143"/>
      <c r="F1793" s="143"/>
      <c r="G1793" s="147"/>
      <c r="H1793" s="146"/>
      <c r="I1793" s="142"/>
      <c r="J1793" s="142"/>
    </row>
    <row r="1794" spans="2:10" ht="14.25" x14ac:dyDescent="0.2">
      <c r="B1794" s="143">
        <f t="shared" si="34"/>
        <v>0</v>
      </c>
      <c r="C1794" s="143"/>
      <c r="D1794" s="144"/>
      <c r="E1794" s="143"/>
      <c r="F1794" s="143"/>
      <c r="G1794" s="147"/>
      <c r="H1794" s="146"/>
      <c r="I1794" s="142"/>
      <c r="J1794" s="142"/>
    </row>
    <row r="1795" spans="2:10" ht="14.25" x14ac:dyDescent="0.2">
      <c r="B1795" s="143">
        <f t="shared" si="34"/>
        <v>0</v>
      </c>
      <c r="C1795" s="143"/>
      <c r="D1795" s="144"/>
      <c r="E1795" s="143"/>
      <c r="F1795" s="143"/>
      <c r="G1795" s="147"/>
      <c r="H1795" s="146"/>
      <c r="I1795" s="142"/>
      <c r="J1795" s="142"/>
    </row>
    <row r="1796" spans="2:10" ht="14.25" x14ac:dyDescent="0.2">
      <c r="B1796" s="143">
        <f t="shared" si="34"/>
        <v>0</v>
      </c>
      <c r="C1796" s="143"/>
      <c r="D1796" s="144"/>
      <c r="E1796" s="143"/>
      <c r="F1796" s="143"/>
      <c r="G1796" s="147"/>
      <c r="H1796" s="146"/>
      <c r="I1796" s="142"/>
      <c r="J1796" s="142"/>
    </row>
    <row r="1797" spans="2:10" ht="14.25" x14ac:dyDescent="0.2">
      <c r="B1797" s="143">
        <f t="shared" si="34"/>
        <v>0</v>
      </c>
      <c r="C1797" s="143"/>
      <c r="D1797" s="144"/>
      <c r="E1797" s="143"/>
      <c r="F1797" s="143"/>
      <c r="G1797" s="147"/>
      <c r="H1797" s="146"/>
      <c r="I1797" s="142"/>
      <c r="J1797" s="142"/>
    </row>
    <row r="1798" spans="2:10" ht="14.25" x14ac:dyDescent="0.2">
      <c r="B1798" s="143">
        <f t="shared" si="34"/>
        <v>0</v>
      </c>
      <c r="C1798" s="143"/>
      <c r="D1798" s="144"/>
      <c r="E1798" s="143"/>
      <c r="F1798" s="143"/>
      <c r="G1798" s="147"/>
      <c r="H1798" s="146"/>
      <c r="I1798" s="142"/>
      <c r="J1798" s="142"/>
    </row>
    <row r="1799" spans="2:10" ht="14.25" x14ac:dyDescent="0.2">
      <c r="B1799" s="143">
        <f t="shared" si="34"/>
        <v>0</v>
      </c>
      <c r="C1799" s="143"/>
      <c r="D1799" s="144"/>
      <c r="E1799" s="143"/>
      <c r="F1799" s="143"/>
      <c r="G1799" s="147"/>
      <c r="H1799" s="146"/>
      <c r="I1799" s="142"/>
      <c r="J1799" s="142"/>
    </row>
    <row r="1800" spans="2:10" ht="14.25" x14ac:dyDescent="0.2">
      <c r="B1800" s="143">
        <f t="shared" si="34"/>
        <v>0</v>
      </c>
      <c r="C1800" s="143"/>
      <c r="D1800" s="144"/>
      <c r="E1800" s="143"/>
      <c r="F1800" s="143"/>
      <c r="G1800" s="147"/>
      <c r="H1800" s="146"/>
      <c r="I1800" s="142"/>
      <c r="J1800" s="142"/>
    </row>
    <row r="1801" spans="2:10" ht="14.25" x14ac:dyDescent="0.2">
      <c r="B1801" s="143">
        <f t="shared" si="34"/>
        <v>0</v>
      </c>
      <c r="C1801" s="143"/>
      <c r="D1801" s="144"/>
      <c r="E1801" s="143"/>
      <c r="F1801" s="143"/>
      <c r="G1801" s="147"/>
      <c r="H1801" s="146"/>
      <c r="I1801" s="142"/>
      <c r="J1801" s="142"/>
    </row>
    <row r="1802" spans="2:10" ht="14.25" x14ac:dyDescent="0.2">
      <c r="B1802" s="143">
        <f t="shared" si="34"/>
        <v>0</v>
      </c>
      <c r="C1802" s="143"/>
      <c r="D1802" s="144"/>
      <c r="E1802" s="143"/>
      <c r="F1802" s="143"/>
      <c r="G1802" s="147"/>
      <c r="H1802" s="146"/>
      <c r="I1802" s="142"/>
      <c r="J1802" s="142"/>
    </row>
    <row r="1803" spans="2:10" ht="14.25" x14ac:dyDescent="0.2">
      <c r="B1803" s="143">
        <f t="shared" si="34"/>
        <v>0</v>
      </c>
      <c r="C1803" s="143"/>
      <c r="D1803" s="144"/>
      <c r="E1803" s="143"/>
      <c r="F1803" s="143"/>
      <c r="G1803" s="147"/>
      <c r="H1803" s="146"/>
      <c r="I1803" s="142"/>
      <c r="J1803" s="142"/>
    </row>
    <row r="1804" spans="2:10" ht="14.25" x14ac:dyDescent="0.2">
      <c r="B1804" s="143">
        <f t="shared" si="34"/>
        <v>0</v>
      </c>
      <c r="C1804" s="143"/>
      <c r="D1804" s="144"/>
      <c r="E1804" s="143"/>
      <c r="F1804" s="143"/>
      <c r="G1804" s="147"/>
      <c r="H1804" s="146"/>
      <c r="I1804" s="142"/>
      <c r="J1804" s="142"/>
    </row>
    <row r="1805" spans="2:10" ht="14.25" x14ac:dyDescent="0.2">
      <c r="B1805" s="143">
        <f t="shared" si="34"/>
        <v>0</v>
      </c>
      <c r="C1805" s="143"/>
      <c r="D1805" s="144"/>
      <c r="E1805" s="143"/>
      <c r="F1805" s="143"/>
      <c r="G1805" s="147"/>
      <c r="H1805" s="146"/>
      <c r="I1805" s="142"/>
      <c r="J1805" s="142"/>
    </row>
    <row r="1806" spans="2:10" ht="14.25" x14ac:dyDescent="0.2">
      <c r="B1806" s="143">
        <f t="shared" si="34"/>
        <v>0</v>
      </c>
      <c r="C1806" s="143"/>
      <c r="D1806" s="144"/>
      <c r="E1806" s="143"/>
      <c r="F1806" s="143"/>
      <c r="G1806" s="147"/>
      <c r="H1806" s="146"/>
      <c r="I1806" s="142"/>
      <c r="J1806" s="142"/>
    </row>
    <row r="1807" spans="2:10" ht="14.25" x14ac:dyDescent="0.2">
      <c r="B1807" s="143">
        <f t="shared" si="34"/>
        <v>0</v>
      </c>
      <c r="C1807" s="143"/>
      <c r="D1807" s="144"/>
      <c r="E1807" s="143"/>
      <c r="F1807" s="143"/>
      <c r="G1807" s="147"/>
      <c r="H1807" s="146"/>
      <c r="I1807" s="142"/>
      <c r="J1807" s="142"/>
    </row>
    <row r="1808" spans="2:10" ht="14.25" x14ac:dyDescent="0.2">
      <c r="B1808" s="143">
        <f t="shared" si="34"/>
        <v>0</v>
      </c>
      <c r="C1808" s="143"/>
      <c r="D1808" s="144"/>
      <c r="E1808" s="143"/>
      <c r="F1808" s="143"/>
      <c r="G1808" s="147"/>
      <c r="H1808" s="146"/>
      <c r="I1808" s="142"/>
      <c r="J1808" s="142"/>
    </row>
    <row r="1809" spans="2:10" ht="14.25" x14ac:dyDescent="0.2">
      <c r="B1809" s="143">
        <f t="shared" si="34"/>
        <v>0</v>
      </c>
      <c r="C1809" s="143"/>
      <c r="D1809" s="144"/>
      <c r="E1809" s="143"/>
      <c r="F1809" s="143"/>
      <c r="G1809" s="147"/>
      <c r="H1809" s="146"/>
      <c r="I1809" s="142"/>
      <c r="J1809" s="142"/>
    </row>
    <row r="1810" spans="2:10" ht="14.25" x14ac:dyDescent="0.2">
      <c r="B1810" s="143">
        <f t="shared" si="34"/>
        <v>0</v>
      </c>
      <c r="C1810" s="143"/>
      <c r="D1810" s="144"/>
      <c r="E1810" s="143"/>
      <c r="F1810" s="143"/>
      <c r="G1810" s="147"/>
      <c r="H1810" s="146"/>
      <c r="I1810" s="142"/>
      <c r="J1810" s="142"/>
    </row>
    <row r="1811" spans="2:10" ht="14.25" x14ac:dyDescent="0.2">
      <c r="B1811" s="143">
        <f t="shared" si="34"/>
        <v>0</v>
      </c>
      <c r="C1811" s="143"/>
      <c r="D1811" s="144"/>
      <c r="E1811" s="143"/>
      <c r="F1811" s="143"/>
      <c r="G1811" s="147"/>
      <c r="H1811" s="146"/>
      <c r="I1811" s="142"/>
      <c r="J1811" s="142"/>
    </row>
    <row r="1812" spans="2:10" ht="14.25" x14ac:dyDescent="0.2">
      <c r="B1812" s="143">
        <f t="shared" si="34"/>
        <v>0</v>
      </c>
      <c r="C1812" s="143"/>
      <c r="D1812" s="144"/>
      <c r="E1812" s="143"/>
      <c r="F1812" s="143"/>
      <c r="G1812" s="147"/>
      <c r="H1812" s="146"/>
      <c r="I1812" s="142"/>
      <c r="J1812" s="142"/>
    </row>
    <row r="1813" spans="2:10" ht="14.25" x14ac:dyDescent="0.2">
      <c r="B1813" s="143">
        <f t="shared" si="34"/>
        <v>0</v>
      </c>
      <c r="C1813" s="143"/>
      <c r="D1813" s="144"/>
      <c r="E1813" s="143"/>
      <c r="F1813" s="143"/>
      <c r="G1813" s="147"/>
      <c r="H1813" s="146"/>
      <c r="I1813" s="142"/>
      <c r="J1813" s="142"/>
    </row>
    <row r="1814" spans="2:10" ht="14.25" x14ac:dyDescent="0.2">
      <c r="B1814" s="143">
        <f t="shared" si="34"/>
        <v>0</v>
      </c>
      <c r="C1814" s="143"/>
      <c r="D1814" s="144"/>
      <c r="E1814" s="143"/>
      <c r="F1814" s="143"/>
      <c r="G1814" s="147"/>
      <c r="H1814" s="146"/>
      <c r="I1814" s="142"/>
      <c r="J1814" s="142"/>
    </row>
    <row r="1815" spans="2:10" ht="14.25" x14ac:dyDescent="0.2">
      <c r="B1815" s="143">
        <f t="shared" si="34"/>
        <v>0</v>
      </c>
      <c r="C1815" s="143"/>
      <c r="D1815" s="144"/>
      <c r="E1815" s="143"/>
      <c r="F1815" s="143"/>
      <c r="G1815" s="147"/>
      <c r="H1815" s="146"/>
      <c r="I1815" s="142"/>
      <c r="J1815" s="142"/>
    </row>
    <row r="1816" spans="2:10" ht="14.25" x14ac:dyDescent="0.2">
      <c r="B1816" s="143">
        <f t="shared" si="34"/>
        <v>0</v>
      </c>
      <c r="C1816" s="143"/>
      <c r="D1816" s="144"/>
      <c r="E1816" s="143"/>
      <c r="F1816" s="143"/>
      <c r="G1816" s="147"/>
      <c r="H1816" s="146"/>
      <c r="I1816" s="142"/>
      <c r="J1816" s="142"/>
    </row>
    <row r="1817" spans="2:10" ht="14.25" x14ac:dyDescent="0.2">
      <c r="B1817" s="143">
        <f t="shared" si="34"/>
        <v>0</v>
      </c>
      <c r="C1817" s="143"/>
      <c r="D1817" s="144"/>
      <c r="E1817" s="143"/>
      <c r="F1817" s="143"/>
      <c r="G1817" s="147"/>
      <c r="H1817" s="146"/>
      <c r="I1817" s="142"/>
      <c r="J1817" s="142"/>
    </row>
    <row r="1818" spans="2:10" ht="14.25" x14ac:dyDescent="0.2">
      <c r="B1818" s="143">
        <f t="shared" si="34"/>
        <v>0</v>
      </c>
      <c r="C1818" s="143"/>
      <c r="D1818" s="144"/>
      <c r="E1818" s="143"/>
      <c r="F1818" s="143"/>
      <c r="G1818" s="147"/>
      <c r="H1818" s="146"/>
      <c r="I1818" s="142"/>
      <c r="J1818" s="142"/>
    </row>
    <row r="1819" spans="2:10" ht="14.25" x14ac:dyDescent="0.2">
      <c r="B1819" s="143">
        <f t="shared" si="34"/>
        <v>0</v>
      </c>
      <c r="C1819" s="143"/>
      <c r="D1819" s="144"/>
      <c r="E1819" s="143"/>
      <c r="F1819" s="143"/>
      <c r="G1819" s="147"/>
      <c r="H1819" s="146"/>
      <c r="I1819" s="142"/>
      <c r="J1819" s="142"/>
    </row>
    <row r="1820" spans="2:10" ht="14.25" x14ac:dyDescent="0.2">
      <c r="B1820" s="143">
        <f t="shared" si="34"/>
        <v>0</v>
      </c>
      <c r="C1820" s="143"/>
      <c r="D1820" s="144"/>
      <c r="E1820" s="143"/>
      <c r="F1820" s="143"/>
      <c r="G1820" s="147"/>
      <c r="H1820" s="146"/>
    </row>
    <row r="1821" spans="2:10" ht="14.25" x14ac:dyDescent="0.2">
      <c r="B1821" s="143">
        <f t="shared" si="34"/>
        <v>0</v>
      </c>
      <c r="C1821" s="143"/>
      <c r="D1821" s="144"/>
      <c r="E1821" s="143"/>
      <c r="F1821" s="143"/>
      <c r="G1821" s="147"/>
      <c r="H1821" s="146"/>
      <c r="I1821" s="142"/>
      <c r="J1821" s="142"/>
    </row>
    <row r="1822" spans="2:10" ht="14.25" x14ac:dyDescent="0.2">
      <c r="B1822" s="143">
        <f t="shared" si="34"/>
        <v>0</v>
      </c>
      <c r="C1822" s="143"/>
      <c r="D1822" s="144"/>
      <c r="E1822" s="143"/>
      <c r="F1822" s="143"/>
      <c r="G1822" s="147"/>
      <c r="H1822" s="146"/>
      <c r="I1822" s="142"/>
      <c r="J1822" s="142"/>
    </row>
    <row r="1823" spans="2:10" ht="14.25" x14ac:dyDescent="0.2">
      <c r="B1823" s="143">
        <f t="shared" si="34"/>
        <v>0</v>
      </c>
      <c r="C1823" s="143"/>
      <c r="D1823" s="144"/>
      <c r="E1823" s="143"/>
      <c r="F1823" s="143"/>
      <c r="G1823" s="147"/>
      <c r="H1823" s="146"/>
      <c r="I1823" s="142"/>
      <c r="J1823" s="142"/>
    </row>
    <row r="1824" spans="2:10" ht="14.25" x14ac:dyDescent="0.2">
      <c r="B1824" s="143">
        <f t="shared" si="34"/>
        <v>0</v>
      </c>
      <c r="C1824" s="143"/>
      <c r="D1824" s="144"/>
      <c r="E1824" s="143"/>
      <c r="F1824" s="143"/>
      <c r="G1824" s="147"/>
      <c r="H1824" s="146"/>
      <c r="I1824" s="142"/>
      <c r="J1824" s="142"/>
    </row>
    <row r="1825" spans="2:10" ht="14.25" x14ac:dyDescent="0.2">
      <c r="B1825" s="143">
        <f t="shared" si="34"/>
        <v>0</v>
      </c>
      <c r="C1825" s="143"/>
      <c r="D1825" s="144"/>
      <c r="E1825" s="143"/>
      <c r="F1825" s="143"/>
      <c r="G1825" s="147"/>
      <c r="H1825" s="146"/>
      <c r="I1825" s="142"/>
      <c r="J1825" s="142"/>
    </row>
    <row r="1826" spans="2:10" ht="14.25" x14ac:dyDescent="0.2">
      <c r="B1826" s="143">
        <f t="shared" si="34"/>
        <v>0</v>
      </c>
      <c r="C1826" s="143"/>
      <c r="D1826" s="144"/>
      <c r="E1826" s="143"/>
      <c r="F1826" s="143"/>
      <c r="G1826" s="147"/>
      <c r="H1826" s="146"/>
      <c r="I1826" s="142"/>
      <c r="J1826" s="142"/>
    </row>
    <row r="1827" spans="2:10" ht="14.25" x14ac:dyDescent="0.2">
      <c r="B1827" s="143">
        <f t="shared" si="34"/>
        <v>0</v>
      </c>
      <c r="C1827" s="143"/>
      <c r="D1827" s="144"/>
      <c r="E1827" s="143"/>
      <c r="F1827" s="143"/>
      <c r="G1827" s="147"/>
      <c r="H1827" s="146"/>
      <c r="I1827" s="142"/>
      <c r="J1827" s="142"/>
    </row>
    <row r="1828" spans="2:10" ht="14.25" x14ac:dyDescent="0.2">
      <c r="B1828" s="143">
        <f t="shared" si="34"/>
        <v>0</v>
      </c>
      <c r="C1828" s="143"/>
      <c r="D1828" s="144"/>
      <c r="E1828" s="143"/>
      <c r="F1828" s="143"/>
      <c r="G1828" s="147"/>
      <c r="H1828" s="146"/>
      <c r="I1828" s="142"/>
      <c r="J1828" s="142"/>
    </row>
    <row r="1829" spans="2:10" ht="14.25" x14ac:dyDescent="0.2">
      <c r="B1829" s="143">
        <f t="shared" si="34"/>
        <v>0</v>
      </c>
      <c r="C1829" s="143"/>
      <c r="D1829" s="144"/>
      <c r="E1829" s="143"/>
      <c r="F1829" s="143"/>
      <c r="G1829" s="147"/>
      <c r="H1829" s="146"/>
      <c r="I1829" s="142"/>
      <c r="J1829" s="142"/>
    </row>
    <row r="1830" spans="2:10" ht="14.25" x14ac:dyDescent="0.2">
      <c r="B1830" s="143">
        <f t="shared" si="34"/>
        <v>0</v>
      </c>
      <c r="C1830" s="143"/>
      <c r="D1830" s="144"/>
      <c r="E1830" s="143"/>
      <c r="F1830" s="143"/>
      <c r="G1830" s="147"/>
      <c r="H1830" s="146"/>
      <c r="I1830" s="142"/>
      <c r="J1830" s="142"/>
    </row>
    <row r="1831" spans="2:10" ht="14.25" x14ac:dyDescent="0.2">
      <c r="B1831" s="143">
        <f t="shared" si="34"/>
        <v>0</v>
      </c>
      <c r="C1831" s="143"/>
      <c r="D1831" s="144"/>
      <c r="E1831" s="143"/>
      <c r="F1831" s="143"/>
      <c r="G1831" s="147"/>
      <c r="H1831" s="146"/>
      <c r="I1831" s="142"/>
      <c r="J1831" s="142"/>
    </row>
    <row r="1832" spans="2:10" ht="14.25" x14ac:dyDescent="0.2">
      <c r="B1832" s="143">
        <f t="shared" si="34"/>
        <v>0</v>
      </c>
      <c r="C1832" s="143"/>
      <c r="D1832" s="144"/>
      <c r="E1832" s="143"/>
      <c r="F1832" s="143"/>
      <c r="G1832" s="147"/>
      <c r="H1832" s="146"/>
      <c r="I1832" s="142"/>
      <c r="J1832" s="142"/>
    </row>
    <row r="1833" spans="2:10" ht="14.25" x14ac:dyDescent="0.2">
      <c r="B1833" s="143">
        <f t="shared" si="34"/>
        <v>0</v>
      </c>
      <c r="C1833" s="143"/>
      <c r="D1833" s="144"/>
      <c r="E1833" s="143"/>
      <c r="F1833" s="143"/>
      <c r="G1833" s="147"/>
      <c r="H1833" s="146"/>
    </row>
    <row r="1834" spans="2:10" ht="14.25" x14ac:dyDescent="0.2">
      <c r="B1834" s="143">
        <f t="shared" si="34"/>
        <v>0</v>
      </c>
      <c r="C1834" s="143"/>
      <c r="D1834" s="144"/>
      <c r="E1834" s="143"/>
      <c r="F1834" s="143"/>
      <c r="G1834" s="147"/>
      <c r="H1834" s="146"/>
    </row>
    <row r="1835" spans="2:10" ht="14.25" x14ac:dyDescent="0.2">
      <c r="B1835" s="143">
        <f t="shared" si="34"/>
        <v>0</v>
      </c>
      <c r="C1835" s="143"/>
      <c r="D1835" s="144"/>
      <c r="E1835" s="143"/>
      <c r="F1835" s="143"/>
      <c r="G1835" s="147"/>
      <c r="H1835" s="146"/>
    </row>
    <row r="1836" spans="2:10" ht="14.25" x14ac:dyDescent="0.2">
      <c r="B1836" s="143">
        <f t="shared" si="34"/>
        <v>0</v>
      </c>
      <c r="C1836" s="143"/>
      <c r="D1836" s="144"/>
      <c r="E1836" s="143"/>
      <c r="F1836" s="143"/>
      <c r="G1836" s="147"/>
      <c r="H1836" s="146"/>
    </row>
    <row r="1837" spans="2:10" ht="14.25" x14ac:dyDescent="0.2">
      <c r="B1837" s="143">
        <f t="shared" si="34"/>
        <v>0</v>
      </c>
      <c r="C1837" s="143"/>
      <c r="D1837" s="144"/>
      <c r="E1837" s="143"/>
      <c r="F1837" s="143"/>
      <c r="G1837" s="147"/>
      <c r="H1837" s="146"/>
    </row>
    <row r="1838" spans="2:10" ht="14.25" x14ac:dyDescent="0.2">
      <c r="B1838" s="143">
        <f t="shared" si="34"/>
        <v>0</v>
      </c>
      <c r="C1838" s="143"/>
      <c r="D1838" s="144"/>
      <c r="E1838" s="143"/>
      <c r="F1838" s="143"/>
      <c r="G1838" s="147"/>
      <c r="H1838" s="146"/>
    </row>
    <row r="1839" spans="2:10" ht="14.25" x14ac:dyDescent="0.2">
      <c r="B1839" s="143">
        <f t="shared" si="34"/>
        <v>0</v>
      </c>
      <c r="C1839" s="143"/>
      <c r="D1839" s="144"/>
      <c r="E1839" s="143"/>
      <c r="F1839" s="143"/>
      <c r="G1839" s="147"/>
      <c r="H1839" s="146"/>
    </row>
    <row r="1840" spans="2:10" ht="14.25" x14ac:dyDescent="0.2">
      <c r="B1840" s="143">
        <f t="shared" si="34"/>
        <v>0</v>
      </c>
      <c r="C1840" s="143"/>
      <c r="D1840" s="144"/>
      <c r="E1840" s="143"/>
      <c r="F1840" s="143"/>
      <c r="G1840" s="147"/>
      <c r="H1840" s="146"/>
    </row>
    <row r="1841" spans="2:8" ht="14.25" x14ac:dyDescent="0.2">
      <c r="B1841" s="143">
        <f t="shared" si="34"/>
        <v>0</v>
      </c>
      <c r="C1841" s="143"/>
      <c r="D1841" s="144"/>
      <c r="E1841" s="143"/>
      <c r="F1841" s="143"/>
      <c r="G1841" s="147"/>
      <c r="H1841" s="146"/>
    </row>
    <row r="1842" spans="2:8" ht="14.25" x14ac:dyDescent="0.2">
      <c r="B1842" s="143">
        <f t="shared" si="34"/>
        <v>0</v>
      </c>
      <c r="C1842" s="143"/>
      <c r="D1842" s="144"/>
      <c r="E1842" s="143"/>
      <c r="F1842" s="143"/>
      <c r="G1842" s="147"/>
      <c r="H1842" s="146"/>
    </row>
    <row r="1843" spans="2:8" ht="14.25" x14ac:dyDescent="0.2">
      <c r="B1843" s="143">
        <f t="shared" si="34"/>
        <v>0</v>
      </c>
      <c r="C1843" s="143"/>
      <c r="D1843" s="144"/>
      <c r="E1843" s="143"/>
      <c r="F1843" s="143"/>
      <c r="G1843" s="147"/>
      <c r="H1843" s="146"/>
    </row>
    <row r="1844" spans="2:8" ht="14.25" x14ac:dyDescent="0.2">
      <c r="B1844" s="143">
        <f t="shared" si="34"/>
        <v>0</v>
      </c>
      <c r="C1844" s="143"/>
      <c r="D1844" s="144"/>
      <c r="E1844" s="143"/>
      <c r="F1844" s="143"/>
      <c r="G1844" s="147"/>
      <c r="H1844" s="146"/>
    </row>
    <row r="1845" spans="2:8" ht="14.25" x14ac:dyDescent="0.2">
      <c r="B1845" s="143">
        <f t="shared" si="34"/>
        <v>0</v>
      </c>
      <c r="C1845" s="143"/>
      <c r="D1845" s="144"/>
      <c r="E1845" s="143"/>
      <c r="F1845" s="143"/>
      <c r="G1845" s="147"/>
      <c r="H1845" s="146"/>
    </row>
    <row r="1846" spans="2:8" ht="14.25" x14ac:dyDescent="0.2">
      <c r="B1846" s="143">
        <f t="shared" si="34"/>
        <v>0</v>
      </c>
      <c r="C1846" s="143"/>
      <c r="D1846" s="144"/>
      <c r="E1846" s="143"/>
      <c r="F1846" s="143"/>
      <c r="G1846" s="147"/>
      <c r="H1846" s="146"/>
    </row>
    <row r="1847" spans="2:8" ht="14.25" x14ac:dyDescent="0.2">
      <c r="B1847" s="143">
        <f t="shared" si="34"/>
        <v>0</v>
      </c>
      <c r="C1847" s="143"/>
      <c r="D1847" s="144"/>
      <c r="E1847" s="143"/>
      <c r="F1847" s="143"/>
      <c r="G1847" s="147"/>
      <c r="H1847" s="146"/>
    </row>
    <row r="1848" spans="2:8" ht="14.25" x14ac:dyDescent="0.2">
      <c r="B1848" s="143">
        <f t="shared" ref="B1848:B1911" si="35">WEEKNUM(D1848)</f>
        <v>0</v>
      </c>
      <c r="C1848" s="143"/>
      <c r="D1848" s="144"/>
      <c r="E1848" s="143"/>
      <c r="F1848" s="143"/>
      <c r="G1848" s="147"/>
      <c r="H1848" s="146"/>
    </row>
    <row r="1849" spans="2:8" ht="14.25" x14ac:dyDescent="0.2">
      <c r="B1849" s="143">
        <f t="shared" si="35"/>
        <v>0</v>
      </c>
      <c r="C1849" s="143"/>
      <c r="D1849" s="144"/>
      <c r="E1849" s="143"/>
      <c r="F1849" s="143"/>
      <c r="G1849" s="147"/>
      <c r="H1849" s="146"/>
    </row>
    <row r="1850" spans="2:8" ht="14.25" x14ac:dyDescent="0.2">
      <c r="B1850" s="143">
        <f t="shared" si="35"/>
        <v>0</v>
      </c>
      <c r="C1850" s="143"/>
      <c r="D1850" s="144"/>
      <c r="E1850" s="143"/>
      <c r="F1850" s="143"/>
      <c r="G1850" s="147"/>
      <c r="H1850" s="146"/>
    </row>
    <row r="1851" spans="2:8" ht="14.25" x14ac:dyDescent="0.2">
      <c r="B1851" s="143">
        <f t="shared" si="35"/>
        <v>0</v>
      </c>
      <c r="C1851" s="143"/>
      <c r="D1851" s="144"/>
      <c r="E1851" s="143"/>
      <c r="F1851" s="143"/>
      <c r="G1851" s="147"/>
      <c r="H1851" s="146"/>
    </row>
    <row r="1852" spans="2:8" ht="14.25" x14ac:dyDescent="0.2">
      <c r="B1852" s="143">
        <f t="shared" si="35"/>
        <v>0</v>
      </c>
      <c r="C1852" s="143"/>
      <c r="D1852" s="144"/>
      <c r="E1852" s="143"/>
      <c r="F1852" s="143"/>
      <c r="G1852" s="147"/>
      <c r="H1852" s="146"/>
    </row>
    <row r="1853" spans="2:8" ht="14.25" x14ac:dyDescent="0.2">
      <c r="B1853" s="143">
        <f t="shared" si="35"/>
        <v>0</v>
      </c>
      <c r="C1853" s="143"/>
      <c r="D1853" s="144"/>
      <c r="E1853" s="143"/>
      <c r="F1853" s="143"/>
      <c r="G1853" s="147"/>
      <c r="H1853" s="146"/>
    </row>
    <row r="1854" spans="2:8" ht="14.25" x14ac:dyDescent="0.2">
      <c r="B1854" s="143">
        <f t="shared" si="35"/>
        <v>0</v>
      </c>
      <c r="C1854" s="143"/>
      <c r="D1854" s="144"/>
      <c r="E1854" s="143"/>
      <c r="F1854" s="143"/>
      <c r="G1854" s="147"/>
      <c r="H1854" s="146"/>
    </row>
    <row r="1855" spans="2:8" ht="14.25" x14ac:dyDescent="0.2">
      <c r="B1855" s="143">
        <f t="shared" si="35"/>
        <v>0</v>
      </c>
      <c r="C1855" s="143"/>
      <c r="D1855" s="144"/>
      <c r="E1855" s="143"/>
      <c r="F1855" s="143"/>
      <c r="G1855" s="147"/>
      <c r="H1855" s="146"/>
    </row>
    <row r="1856" spans="2:8" ht="14.25" x14ac:dyDescent="0.2">
      <c r="B1856" s="143">
        <f t="shared" si="35"/>
        <v>0</v>
      </c>
      <c r="C1856" s="143"/>
      <c r="D1856" s="144"/>
      <c r="E1856" s="143"/>
      <c r="F1856" s="143"/>
      <c r="G1856" s="147"/>
      <c r="H1856" s="146"/>
    </row>
    <row r="1857" spans="2:8" ht="14.25" x14ac:dyDescent="0.2">
      <c r="B1857" s="143">
        <f t="shared" si="35"/>
        <v>0</v>
      </c>
      <c r="C1857" s="143"/>
      <c r="D1857" s="144"/>
      <c r="E1857" s="143"/>
      <c r="F1857" s="143"/>
      <c r="G1857" s="147"/>
      <c r="H1857" s="146"/>
    </row>
    <row r="1858" spans="2:8" ht="14.25" x14ac:dyDescent="0.2">
      <c r="B1858" s="143">
        <f t="shared" si="35"/>
        <v>0</v>
      </c>
      <c r="C1858" s="143"/>
      <c r="D1858" s="144"/>
      <c r="E1858" s="143"/>
      <c r="F1858" s="143"/>
      <c r="G1858" s="147"/>
      <c r="H1858" s="146"/>
    </row>
    <row r="1859" spans="2:8" ht="14.25" x14ac:dyDescent="0.2">
      <c r="B1859" s="143">
        <f t="shared" si="35"/>
        <v>0</v>
      </c>
      <c r="C1859" s="143"/>
      <c r="D1859" s="144"/>
      <c r="E1859" s="143"/>
      <c r="F1859" s="143"/>
      <c r="G1859" s="147"/>
      <c r="H1859" s="146"/>
    </row>
    <row r="1860" spans="2:8" ht="14.25" x14ac:dyDescent="0.2">
      <c r="B1860" s="143">
        <f t="shared" si="35"/>
        <v>0</v>
      </c>
      <c r="C1860" s="143"/>
      <c r="D1860" s="144"/>
      <c r="E1860" s="143"/>
      <c r="F1860" s="143"/>
      <c r="G1860" s="147"/>
      <c r="H1860" s="146"/>
    </row>
    <row r="1861" spans="2:8" ht="14.25" x14ac:dyDescent="0.2">
      <c r="B1861" s="143">
        <f t="shared" si="35"/>
        <v>0</v>
      </c>
      <c r="C1861" s="143"/>
      <c r="D1861" s="144"/>
      <c r="E1861" s="143"/>
      <c r="F1861" s="143"/>
      <c r="G1861" s="147"/>
      <c r="H1861" s="146"/>
    </row>
    <row r="1862" spans="2:8" ht="14.25" x14ac:dyDescent="0.2">
      <c r="B1862" s="143">
        <f t="shared" si="35"/>
        <v>0</v>
      </c>
      <c r="C1862" s="143"/>
      <c r="D1862" s="144"/>
      <c r="E1862" s="143"/>
      <c r="F1862" s="143"/>
      <c r="G1862" s="147"/>
      <c r="H1862" s="146"/>
    </row>
    <row r="1863" spans="2:8" ht="14.25" x14ac:dyDescent="0.2">
      <c r="B1863" s="143">
        <f t="shared" si="35"/>
        <v>0</v>
      </c>
      <c r="C1863" s="143"/>
      <c r="D1863" s="144"/>
      <c r="E1863" s="143"/>
      <c r="F1863" s="143"/>
      <c r="G1863" s="147"/>
      <c r="H1863" s="146"/>
    </row>
    <row r="1864" spans="2:8" ht="14.25" x14ac:dyDescent="0.2">
      <c r="B1864" s="143">
        <f t="shared" si="35"/>
        <v>0</v>
      </c>
      <c r="C1864" s="143"/>
      <c r="D1864" s="144"/>
      <c r="E1864" s="143"/>
      <c r="F1864" s="143"/>
      <c r="G1864" s="147"/>
      <c r="H1864" s="146"/>
    </row>
    <row r="1865" spans="2:8" ht="14.25" x14ac:dyDescent="0.2">
      <c r="B1865" s="143">
        <f t="shared" si="35"/>
        <v>0</v>
      </c>
      <c r="C1865" s="143"/>
      <c r="D1865" s="144"/>
      <c r="E1865" s="143"/>
      <c r="F1865" s="143"/>
      <c r="G1865" s="147"/>
      <c r="H1865" s="146"/>
    </row>
    <row r="1866" spans="2:8" ht="14.25" x14ac:dyDescent="0.2">
      <c r="B1866" s="143">
        <f t="shared" si="35"/>
        <v>0</v>
      </c>
      <c r="C1866" s="143"/>
      <c r="D1866" s="144"/>
      <c r="E1866" s="143"/>
      <c r="F1866" s="143"/>
      <c r="G1866" s="147"/>
      <c r="H1866" s="146"/>
    </row>
    <row r="1867" spans="2:8" ht="14.25" x14ac:dyDescent="0.2">
      <c r="B1867" s="143">
        <f t="shared" si="35"/>
        <v>0</v>
      </c>
      <c r="C1867" s="143"/>
      <c r="D1867" s="144"/>
      <c r="E1867" s="143"/>
      <c r="F1867" s="143"/>
      <c r="G1867" s="147"/>
      <c r="H1867" s="146"/>
    </row>
    <row r="1868" spans="2:8" ht="14.25" x14ac:dyDescent="0.2">
      <c r="B1868" s="143">
        <f t="shared" si="35"/>
        <v>0</v>
      </c>
      <c r="C1868" s="143"/>
      <c r="D1868" s="144"/>
      <c r="E1868" s="143"/>
      <c r="F1868" s="143"/>
      <c r="G1868" s="147"/>
      <c r="H1868" s="146"/>
    </row>
    <row r="1869" spans="2:8" ht="14.25" x14ac:dyDescent="0.2">
      <c r="B1869" s="143">
        <f t="shared" si="35"/>
        <v>0</v>
      </c>
      <c r="C1869" s="143"/>
      <c r="D1869" s="144"/>
      <c r="E1869" s="143"/>
      <c r="F1869" s="143"/>
      <c r="G1869" s="147"/>
      <c r="H1869" s="146"/>
    </row>
    <row r="1870" spans="2:8" ht="14.25" x14ac:dyDescent="0.2">
      <c r="B1870" s="143">
        <f t="shared" si="35"/>
        <v>0</v>
      </c>
      <c r="C1870" s="143"/>
      <c r="D1870" s="144"/>
      <c r="E1870" s="143"/>
      <c r="F1870" s="143"/>
      <c r="G1870" s="147"/>
      <c r="H1870" s="146"/>
    </row>
    <row r="1871" spans="2:8" ht="14.25" x14ac:dyDescent="0.2">
      <c r="B1871" s="143">
        <f t="shared" si="35"/>
        <v>0</v>
      </c>
      <c r="C1871" s="143"/>
      <c r="D1871" s="144"/>
      <c r="E1871" s="143"/>
      <c r="F1871" s="143"/>
      <c r="G1871" s="147"/>
      <c r="H1871" s="146"/>
    </row>
    <row r="1872" spans="2:8" ht="14.25" x14ac:dyDescent="0.2">
      <c r="B1872" s="143">
        <f t="shared" si="35"/>
        <v>0</v>
      </c>
      <c r="C1872" s="143"/>
      <c r="D1872" s="144"/>
      <c r="E1872" s="143"/>
      <c r="F1872" s="143"/>
      <c r="G1872" s="147"/>
      <c r="H1872" s="146"/>
    </row>
    <row r="1873" spans="2:8" ht="14.25" x14ac:dyDescent="0.2">
      <c r="B1873" s="143">
        <f t="shared" si="35"/>
        <v>0</v>
      </c>
      <c r="C1873" s="143"/>
      <c r="D1873" s="144"/>
      <c r="E1873" s="143"/>
      <c r="F1873" s="143"/>
      <c r="G1873" s="147"/>
      <c r="H1873" s="146"/>
    </row>
    <row r="1874" spans="2:8" ht="14.25" x14ac:dyDescent="0.2">
      <c r="B1874" s="143">
        <f t="shared" si="35"/>
        <v>0</v>
      </c>
      <c r="C1874" s="143"/>
      <c r="D1874" s="144"/>
      <c r="E1874" s="143"/>
      <c r="F1874" s="143"/>
      <c r="G1874" s="147"/>
      <c r="H1874" s="146"/>
    </row>
    <row r="1875" spans="2:8" ht="14.25" x14ac:dyDescent="0.2">
      <c r="B1875" s="143">
        <f t="shared" si="35"/>
        <v>0</v>
      </c>
      <c r="C1875" s="143"/>
      <c r="D1875" s="144"/>
      <c r="E1875" s="143"/>
      <c r="F1875" s="143"/>
      <c r="G1875" s="147"/>
      <c r="H1875" s="146"/>
    </row>
    <row r="1876" spans="2:8" ht="14.25" x14ac:dyDescent="0.2">
      <c r="B1876" s="143">
        <f t="shared" si="35"/>
        <v>0</v>
      </c>
      <c r="C1876" s="143"/>
      <c r="D1876" s="144"/>
      <c r="E1876" s="143"/>
      <c r="F1876" s="143"/>
      <c r="G1876" s="147"/>
      <c r="H1876" s="146"/>
    </row>
    <row r="1877" spans="2:8" ht="14.25" x14ac:dyDescent="0.2">
      <c r="B1877" s="143">
        <f t="shared" si="35"/>
        <v>0</v>
      </c>
      <c r="C1877" s="143"/>
      <c r="D1877" s="144"/>
      <c r="E1877" s="143"/>
      <c r="F1877" s="143"/>
      <c r="G1877" s="147"/>
      <c r="H1877" s="146"/>
    </row>
    <row r="1878" spans="2:8" ht="14.25" x14ac:dyDescent="0.2">
      <c r="B1878" s="143">
        <f t="shared" si="35"/>
        <v>0</v>
      </c>
      <c r="C1878" s="143"/>
      <c r="D1878" s="144"/>
      <c r="E1878" s="143"/>
      <c r="F1878" s="143"/>
      <c r="G1878" s="147"/>
      <c r="H1878" s="146"/>
    </row>
    <row r="1879" spans="2:8" ht="14.25" x14ac:dyDescent="0.2">
      <c r="B1879" s="143">
        <f t="shared" si="35"/>
        <v>0</v>
      </c>
      <c r="C1879" s="143"/>
      <c r="D1879" s="144"/>
      <c r="E1879" s="143"/>
      <c r="F1879" s="143"/>
      <c r="G1879" s="147"/>
      <c r="H1879" s="146"/>
    </row>
    <row r="1880" spans="2:8" ht="14.25" x14ac:dyDescent="0.2">
      <c r="B1880" s="143">
        <f t="shared" si="35"/>
        <v>0</v>
      </c>
      <c r="C1880" s="143"/>
      <c r="D1880" s="144"/>
      <c r="E1880" s="143"/>
      <c r="F1880" s="143"/>
      <c r="G1880" s="147"/>
      <c r="H1880" s="146"/>
    </row>
    <row r="1881" spans="2:8" ht="14.25" x14ac:dyDescent="0.2">
      <c r="B1881" s="143">
        <f t="shared" si="35"/>
        <v>0</v>
      </c>
      <c r="C1881" s="143"/>
      <c r="D1881" s="144"/>
      <c r="E1881" s="143"/>
      <c r="F1881" s="143"/>
      <c r="G1881" s="147"/>
      <c r="H1881" s="146"/>
    </row>
    <row r="1882" spans="2:8" ht="14.25" x14ac:dyDescent="0.2">
      <c r="B1882" s="143">
        <f t="shared" si="35"/>
        <v>0</v>
      </c>
      <c r="C1882" s="143"/>
      <c r="D1882" s="144"/>
      <c r="E1882" s="143"/>
      <c r="F1882" s="143"/>
      <c r="G1882" s="147"/>
      <c r="H1882" s="146"/>
    </row>
    <row r="1883" spans="2:8" ht="14.25" x14ac:dyDescent="0.2">
      <c r="B1883" s="143">
        <f t="shared" si="35"/>
        <v>0</v>
      </c>
      <c r="C1883" s="143"/>
      <c r="D1883" s="144"/>
      <c r="E1883" s="143"/>
      <c r="F1883" s="143"/>
      <c r="G1883" s="147"/>
      <c r="H1883" s="146"/>
    </row>
    <row r="1884" spans="2:8" ht="14.25" x14ac:dyDescent="0.2">
      <c r="B1884" s="143">
        <f t="shared" si="35"/>
        <v>0</v>
      </c>
      <c r="C1884" s="143"/>
      <c r="D1884" s="144"/>
      <c r="E1884" s="143"/>
      <c r="F1884" s="143"/>
      <c r="G1884" s="147"/>
      <c r="H1884" s="146"/>
    </row>
    <row r="1885" spans="2:8" ht="14.25" x14ac:dyDescent="0.2">
      <c r="B1885" s="143">
        <f t="shared" si="35"/>
        <v>0</v>
      </c>
      <c r="C1885" s="143"/>
      <c r="D1885" s="144"/>
      <c r="E1885" s="143"/>
      <c r="F1885" s="143"/>
      <c r="G1885" s="147"/>
      <c r="H1885" s="146"/>
    </row>
    <row r="1886" spans="2:8" ht="14.25" x14ac:dyDescent="0.2">
      <c r="B1886" s="143">
        <f t="shared" si="35"/>
        <v>0</v>
      </c>
      <c r="C1886" s="143"/>
      <c r="D1886" s="144"/>
      <c r="E1886" s="143"/>
      <c r="F1886" s="143"/>
      <c r="G1886" s="147"/>
      <c r="H1886" s="146"/>
    </row>
    <row r="1887" spans="2:8" ht="14.25" x14ac:dyDescent="0.2">
      <c r="B1887" s="143">
        <f t="shared" si="35"/>
        <v>0</v>
      </c>
      <c r="C1887" s="143"/>
      <c r="D1887" s="144"/>
      <c r="E1887" s="143"/>
      <c r="F1887" s="143"/>
      <c r="G1887" s="147"/>
      <c r="H1887" s="146"/>
    </row>
    <row r="1888" spans="2:8" ht="14.25" x14ac:dyDescent="0.2">
      <c r="B1888" s="143">
        <f t="shared" si="35"/>
        <v>0</v>
      </c>
      <c r="C1888" s="143"/>
      <c r="D1888" s="144"/>
      <c r="E1888" s="143"/>
      <c r="F1888" s="143"/>
      <c r="G1888" s="147"/>
      <c r="H1888" s="146"/>
    </row>
    <row r="1889" spans="2:8" ht="14.25" x14ac:dyDescent="0.2">
      <c r="B1889" s="143">
        <f t="shared" si="35"/>
        <v>0</v>
      </c>
      <c r="C1889" s="143"/>
      <c r="D1889" s="144"/>
      <c r="E1889" s="143"/>
      <c r="F1889" s="143"/>
      <c r="G1889" s="147"/>
      <c r="H1889" s="146"/>
    </row>
    <row r="1890" spans="2:8" ht="14.25" x14ac:dyDescent="0.2">
      <c r="B1890" s="143">
        <f t="shared" si="35"/>
        <v>0</v>
      </c>
      <c r="C1890" s="143"/>
      <c r="D1890" s="144"/>
      <c r="E1890" s="143"/>
      <c r="F1890" s="143"/>
      <c r="G1890" s="147"/>
      <c r="H1890" s="146"/>
    </row>
    <row r="1891" spans="2:8" ht="14.25" x14ac:dyDescent="0.2">
      <c r="B1891" s="143">
        <f t="shared" si="35"/>
        <v>0</v>
      </c>
      <c r="C1891" s="143"/>
      <c r="D1891" s="144"/>
      <c r="E1891" s="143"/>
      <c r="F1891" s="143"/>
      <c r="G1891" s="147"/>
      <c r="H1891" s="146"/>
    </row>
    <row r="1892" spans="2:8" ht="14.25" x14ac:dyDescent="0.2">
      <c r="B1892" s="143">
        <f t="shared" si="35"/>
        <v>0</v>
      </c>
      <c r="C1892" s="143"/>
      <c r="D1892" s="144"/>
      <c r="E1892" s="143"/>
      <c r="F1892" s="143"/>
      <c r="G1892" s="147"/>
      <c r="H1892" s="146"/>
    </row>
    <row r="1893" spans="2:8" ht="14.25" x14ac:dyDescent="0.2">
      <c r="B1893" s="143">
        <f t="shared" si="35"/>
        <v>0</v>
      </c>
      <c r="C1893" s="143"/>
      <c r="D1893" s="144"/>
      <c r="E1893" s="143"/>
      <c r="F1893" s="143"/>
      <c r="G1893" s="147"/>
      <c r="H1893" s="146"/>
    </row>
    <row r="1894" spans="2:8" ht="14.25" x14ac:dyDescent="0.2">
      <c r="B1894" s="143">
        <f t="shared" si="35"/>
        <v>0</v>
      </c>
      <c r="C1894" s="143"/>
      <c r="D1894" s="144"/>
      <c r="E1894" s="143"/>
      <c r="F1894" s="143"/>
      <c r="G1894" s="147"/>
      <c r="H1894" s="146"/>
    </row>
    <row r="1895" spans="2:8" ht="14.25" x14ac:dyDescent="0.2">
      <c r="B1895" s="143">
        <f t="shared" si="35"/>
        <v>0</v>
      </c>
      <c r="C1895" s="143"/>
      <c r="D1895" s="144"/>
      <c r="E1895" s="143"/>
      <c r="F1895" s="143"/>
      <c r="G1895" s="147"/>
      <c r="H1895" s="146"/>
    </row>
    <row r="1896" spans="2:8" ht="14.25" x14ac:dyDescent="0.2">
      <c r="B1896" s="143">
        <f t="shared" si="35"/>
        <v>0</v>
      </c>
      <c r="C1896" s="143"/>
      <c r="D1896" s="144"/>
      <c r="E1896" s="143"/>
      <c r="F1896" s="143"/>
      <c r="G1896" s="147"/>
      <c r="H1896" s="146"/>
    </row>
    <row r="1897" spans="2:8" ht="14.25" x14ac:dyDescent="0.2">
      <c r="B1897" s="143">
        <f t="shared" si="35"/>
        <v>0</v>
      </c>
      <c r="C1897" s="143"/>
      <c r="D1897" s="144"/>
      <c r="E1897" s="143"/>
      <c r="F1897" s="143"/>
      <c r="G1897" s="147"/>
      <c r="H1897" s="146"/>
    </row>
    <row r="1898" spans="2:8" ht="14.25" x14ac:dyDescent="0.2">
      <c r="B1898" s="143">
        <f t="shared" si="35"/>
        <v>0</v>
      </c>
      <c r="C1898" s="143"/>
      <c r="D1898" s="144"/>
      <c r="E1898" s="143"/>
      <c r="F1898" s="143"/>
      <c r="G1898" s="147"/>
      <c r="H1898" s="146"/>
    </row>
    <row r="1899" spans="2:8" ht="14.25" x14ac:dyDescent="0.2">
      <c r="B1899" s="143">
        <f t="shared" si="35"/>
        <v>0</v>
      </c>
      <c r="C1899" s="143"/>
      <c r="D1899" s="144"/>
      <c r="E1899" s="143"/>
      <c r="F1899" s="143"/>
      <c r="G1899" s="147"/>
      <c r="H1899" s="146"/>
    </row>
    <row r="1900" spans="2:8" ht="14.25" x14ac:dyDescent="0.2">
      <c r="B1900" s="143">
        <f t="shared" si="35"/>
        <v>0</v>
      </c>
      <c r="C1900" s="143"/>
      <c r="D1900" s="144"/>
      <c r="E1900" s="143"/>
      <c r="F1900" s="143"/>
      <c r="G1900" s="147"/>
      <c r="H1900" s="146"/>
    </row>
    <row r="1901" spans="2:8" ht="14.25" x14ac:dyDescent="0.2">
      <c r="B1901" s="143">
        <f t="shared" si="35"/>
        <v>0</v>
      </c>
      <c r="C1901" s="143"/>
      <c r="D1901" s="144"/>
      <c r="E1901" s="143"/>
      <c r="F1901" s="143"/>
      <c r="G1901" s="147"/>
      <c r="H1901" s="146"/>
    </row>
    <row r="1902" spans="2:8" ht="14.25" x14ac:dyDescent="0.2">
      <c r="B1902" s="143">
        <f t="shared" si="35"/>
        <v>0</v>
      </c>
      <c r="C1902" s="143"/>
      <c r="D1902" s="144"/>
      <c r="E1902" s="143"/>
      <c r="F1902" s="143"/>
      <c r="G1902" s="147"/>
      <c r="H1902" s="146"/>
    </row>
    <row r="1903" spans="2:8" ht="14.25" x14ac:dyDescent="0.2">
      <c r="B1903" s="143">
        <f t="shared" si="35"/>
        <v>0</v>
      </c>
      <c r="C1903" s="143"/>
      <c r="D1903" s="144"/>
      <c r="E1903" s="143"/>
      <c r="F1903" s="143"/>
      <c r="G1903" s="147"/>
      <c r="H1903" s="146"/>
    </row>
    <row r="1904" spans="2:8" ht="14.25" x14ac:dyDescent="0.2">
      <c r="B1904" s="143">
        <f t="shared" si="35"/>
        <v>0</v>
      </c>
      <c r="C1904" s="143"/>
      <c r="D1904" s="144"/>
      <c r="E1904" s="143"/>
      <c r="F1904" s="143"/>
      <c r="G1904" s="147"/>
      <c r="H1904" s="146"/>
    </row>
    <row r="1905" spans="2:8" ht="14.25" x14ac:dyDescent="0.2">
      <c r="B1905" s="143">
        <f t="shared" si="35"/>
        <v>0</v>
      </c>
      <c r="C1905" s="143"/>
      <c r="D1905" s="144"/>
      <c r="E1905" s="143"/>
      <c r="F1905" s="143"/>
      <c r="G1905" s="147"/>
      <c r="H1905" s="146"/>
    </row>
    <row r="1906" spans="2:8" ht="14.25" x14ac:dyDescent="0.2">
      <c r="B1906" s="143">
        <f t="shared" si="35"/>
        <v>0</v>
      </c>
      <c r="C1906" s="143"/>
      <c r="D1906" s="144"/>
      <c r="E1906" s="143"/>
      <c r="F1906" s="143"/>
      <c r="G1906" s="147"/>
      <c r="H1906" s="146"/>
    </row>
    <row r="1907" spans="2:8" ht="14.25" x14ac:dyDescent="0.2">
      <c r="B1907" s="143">
        <f t="shared" si="35"/>
        <v>0</v>
      </c>
      <c r="C1907" s="143"/>
      <c r="D1907" s="144"/>
      <c r="E1907" s="143"/>
      <c r="F1907" s="143"/>
      <c r="G1907" s="147"/>
      <c r="H1907" s="146"/>
    </row>
    <row r="1908" spans="2:8" ht="14.25" x14ac:dyDescent="0.2">
      <c r="B1908" s="143">
        <f t="shared" si="35"/>
        <v>0</v>
      </c>
      <c r="C1908" s="143"/>
      <c r="D1908" s="144"/>
      <c r="E1908" s="143"/>
      <c r="F1908" s="143"/>
      <c r="G1908" s="147"/>
      <c r="H1908" s="146"/>
    </row>
    <row r="1909" spans="2:8" ht="14.25" x14ac:dyDescent="0.2">
      <c r="B1909" s="143">
        <f t="shared" si="35"/>
        <v>0</v>
      </c>
      <c r="C1909" s="143"/>
      <c r="D1909" s="144"/>
      <c r="E1909" s="143"/>
      <c r="F1909" s="143"/>
      <c r="G1909" s="147"/>
      <c r="H1909" s="146"/>
    </row>
    <row r="1910" spans="2:8" ht="14.25" x14ac:dyDescent="0.2">
      <c r="B1910" s="143">
        <f t="shared" si="35"/>
        <v>0</v>
      </c>
      <c r="C1910" s="143"/>
      <c r="D1910" s="144"/>
      <c r="E1910" s="143"/>
      <c r="F1910" s="143"/>
      <c r="G1910" s="147"/>
      <c r="H1910" s="146"/>
    </row>
    <row r="1911" spans="2:8" ht="14.25" x14ac:dyDescent="0.2">
      <c r="B1911" s="143">
        <f t="shared" si="35"/>
        <v>0</v>
      </c>
      <c r="C1911" s="143"/>
      <c r="D1911" s="144"/>
      <c r="E1911" s="143"/>
      <c r="F1911" s="143"/>
      <c r="G1911" s="147"/>
      <c r="H1911" s="146"/>
    </row>
    <row r="1912" spans="2:8" ht="14.25" x14ac:dyDescent="0.2">
      <c r="B1912" s="143">
        <f t="shared" ref="B1912:B1975" si="36">WEEKNUM(D1912)</f>
        <v>0</v>
      </c>
      <c r="C1912" s="143"/>
      <c r="D1912" s="144"/>
      <c r="E1912" s="143"/>
      <c r="F1912" s="143"/>
      <c r="G1912" s="147"/>
      <c r="H1912" s="146"/>
    </row>
    <row r="1913" spans="2:8" ht="14.25" x14ac:dyDescent="0.2">
      <c r="B1913" s="143">
        <f t="shared" si="36"/>
        <v>0</v>
      </c>
      <c r="C1913" s="143"/>
      <c r="D1913" s="144"/>
      <c r="E1913" s="143"/>
      <c r="F1913" s="143"/>
      <c r="G1913" s="147"/>
      <c r="H1913" s="146"/>
    </row>
    <row r="1914" spans="2:8" ht="14.25" x14ac:dyDescent="0.2">
      <c r="B1914" s="143">
        <f t="shared" si="36"/>
        <v>0</v>
      </c>
      <c r="C1914" s="143"/>
      <c r="D1914" s="144"/>
      <c r="E1914" s="143"/>
      <c r="F1914" s="143"/>
      <c r="G1914" s="147"/>
      <c r="H1914" s="146"/>
    </row>
    <row r="1915" spans="2:8" ht="14.25" x14ac:dyDescent="0.2">
      <c r="B1915" s="143">
        <f t="shared" si="36"/>
        <v>0</v>
      </c>
      <c r="C1915" s="143"/>
      <c r="D1915" s="144"/>
      <c r="E1915" s="143"/>
      <c r="F1915" s="143"/>
      <c r="G1915" s="147"/>
      <c r="H1915" s="146"/>
    </row>
    <row r="1916" spans="2:8" ht="14.25" x14ac:dyDescent="0.2">
      <c r="B1916" s="143">
        <f t="shared" si="36"/>
        <v>0</v>
      </c>
      <c r="C1916" s="143"/>
      <c r="D1916" s="144"/>
      <c r="E1916" s="143"/>
      <c r="F1916" s="143"/>
      <c r="G1916" s="147"/>
      <c r="H1916" s="146"/>
    </row>
    <row r="1917" spans="2:8" ht="14.25" x14ac:dyDescent="0.2">
      <c r="B1917" s="143">
        <f t="shared" si="36"/>
        <v>0</v>
      </c>
      <c r="C1917" s="143"/>
      <c r="D1917" s="144"/>
      <c r="E1917" s="143"/>
      <c r="F1917" s="143"/>
      <c r="G1917" s="147"/>
      <c r="H1917" s="146"/>
    </row>
    <row r="1918" spans="2:8" ht="14.25" x14ac:dyDescent="0.2">
      <c r="B1918" s="143">
        <f t="shared" si="36"/>
        <v>0</v>
      </c>
      <c r="C1918" s="143"/>
      <c r="D1918" s="144"/>
      <c r="E1918" s="143"/>
      <c r="F1918" s="143"/>
      <c r="G1918" s="147"/>
      <c r="H1918" s="146"/>
    </row>
    <row r="1919" spans="2:8" ht="14.25" x14ac:dyDescent="0.2">
      <c r="B1919" s="143">
        <f t="shared" si="36"/>
        <v>0</v>
      </c>
      <c r="C1919" s="143"/>
      <c r="D1919" s="144"/>
      <c r="E1919" s="143"/>
      <c r="F1919" s="143"/>
      <c r="G1919" s="147"/>
      <c r="H1919" s="146"/>
    </row>
    <row r="1920" spans="2:8" ht="14.25" x14ac:dyDescent="0.2">
      <c r="B1920" s="143">
        <f t="shared" si="36"/>
        <v>0</v>
      </c>
      <c r="C1920" s="143"/>
      <c r="D1920" s="144"/>
      <c r="E1920" s="143"/>
      <c r="F1920" s="143"/>
      <c r="G1920" s="147"/>
      <c r="H1920" s="146"/>
    </row>
    <row r="1921" spans="2:8" ht="14.25" x14ac:dyDescent="0.2">
      <c r="B1921" s="143">
        <f t="shared" si="36"/>
        <v>0</v>
      </c>
      <c r="C1921" s="143"/>
      <c r="D1921" s="144"/>
      <c r="E1921" s="143"/>
      <c r="F1921" s="143"/>
      <c r="G1921" s="147"/>
      <c r="H1921" s="146"/>
    </row>
    <row r="1922" spans="2:8" ht="14.25" x14ac:dyDescent="0.2">
      <c r="B1922" s="143">
        <f t="shared" si="36"/>
        <v>0</v>
      </c>
      <c r="C1922" s="143"/>
      <c r="D1922" s="144"/>
      <c r="E1922" s="143"/>
      <c r="F1922" s="143"/>
      <c r="G1922" s="147"/>
      <c r="H1922" s="146"/>
    </row>
    <row r="1923" spans="2:8" ht="14.25" x14ac:dyDescent="0.2">
      <c r="B1923" s="143">
        <f t="shared" si="36"/>
        <v>0</v>
      </c>
      <c r="C1923" s="143"/>
      <c r="D1923" s="144"/>
      <c r="E1923" s="143"/>
      <c r="F1923" s="143"/>
      <c r="G1923" s="147"/>
      <c r="H1923" s="146"/>
    </row>
    <row r="1924" spans="2:8" ht="14.25" x14ac:dyDescent="0.2">
      <c r="B1924" s="143">
        <f t="shared" si="36"/>
        <v>0</v>
      </c>
      <c r="C1924" s="143"/>
      <c r="D1924" s="144"/>
      <c r="E1924" s="143"/>
      <c r="F1924" s="143"/>
      <c r="G1924" s="147"/>
      <c r="H1924" s="146"/>
    </row>
    <row r="1925" spans="2:8" ht="14.25" x14ac:dyDescent="0.2">
      <c r="B1925" s="143">
        <f t="shared" si="36"/>
        <v>0</v>
      </c>
      <c r="C1925" s="143"/>
      <c r="D1925" s="144"/>
      <c r="E1925" s="143"/>
      <c r="F1925" s="143"/>
      <c r="G1925" s="147"/>
      <c r="H1925" s="146"/>
    </row>
    <row r="1926" spans="2:8" ht="14.25" x14ac:dyDescent="0.2">
      <c r="B1926" s="143">
        <f t="shared" si="36"/>
        <v>0</v>
      </c>
      <c r="C1926" s="143"/>
      <c r="D1926" s="144"/>
      <c r="E1926" s="143"/>
      <c r="F1926" s="143"/>
      <c r="G1926" s="147"/>
      <c r="H1926" s="146"/>
    </row>
    <row r="1927" spans="2:8" ht="14.25" x14ac:dyDescent="0.2">
      <c r="B1927" s="143">
        <f t="shared" si="36"/>
        <v>0</v>
      </c>
      <c r="C1927" s="143"/>
      <c r="D1927" s="144"/>
      <c r="E1927" s="143"/>
      <c r="F1927" s="143"/>
      <c r="G1927" s="147"/>
      <c r="H1927" s="146"/>
    </row>
    <row r="1928" spans="2:8" ht="14.25" x14ac:dyDescent="0.2">
      <c r="B1928" s="143">
        <f t="shared" si="36"/>
        <v>0</v>
      </c>
      <c r="C1928" s="143"/>
      <c r="D1928" s="144"/>
      <c r="E1928" s="143"/>
      <c r="F1928" s="143"/>
      <c r="G1928" s="147"/>
      <c r="H1928" s="146"/>
    </row>
    <row r="1929" spans="2:8" ht="14.25" x14ac:dyDescent="0.2">
      <c r="B1929" s="143">
        <f t="shared" si="36"/>
        <v>0</v>
      </c>
      <c r="C1929" s="143"/>
      <c r="D1929" s="144"/>
      <c r="E1929" s="143"/>
      <c r="F1929" s="143"/>
      <c r="G1929" s="147"/>
      <c r="H1929" s="146"/>
    </row>
    <row r="1930" spans="2:8" ht="14.25" x14ac:dyDescent="0.2">
      <c r="B1930" s="143">
        <f t="shared" si="36"/>
        <v>0</v>
      </c>
      <c r="C1930" s="143"/>
      <c r="D1930" s="144"/>
      <c r="E1930" s="143"/>
      <c r="F1930" s="143"/>
      <c r="G1930" s="147"/>
      <c r="H1930" s="146"/>
    </row>
    <row r="1931" spans="2:8" ht="14.25" x14ac:dyDescent="0.2">
      <c r="B1931" s="143">
        <f t="shared" si="36"/>
        <v>0</v>
      </c>
      <c r="C1931" s="143"/>
      <c r="D1931" s="144"/>
      <c r="E1931" s="143"/>
      <c r="F1931" s="143"/>
      <c r="G1931" s="147"/>
      <c r="H1931" s="146"/>
    </row>
    <row r="1932" spans="2:8" ht="14.25" x14ac:dyDescent="0.2">
      <c r="B1932" s="143">
        <f t="shared" si="36"/>
        <v>0</v>
      </c>
      <c r="C1932" s="143"/>
      <c r="D1932" s="144"/>
      <c r="E1932" s="143"/>
      <c r="F1932" s="143"/>
      <c r="G1932" s="147"/>
      <c r="H1932" s="146"/>
    </row>
    <row r="1933" spans="2:8" ht="14.25" x14ac:dyDescent="0.2">
      <c r="B1933" s="143">
        <f t="shared" si="36"/>
        <v>0</v>
      </c>
      <c r="C1933" s="143"/>
      <c r="D1933" s="144"/>
      <c r="E1933" s="143"/>
      <c r="F1933" s="143"/>
      <c r="G1933" s="147"/>
      <c r="H1933" s="146"/>
    </row>
    <row r="1934" spans="2:8" ht="14.25" x14ac:dyDescent="0.2">
      <c r="B1934" s="143">
        <f t="shared" si="36"/>
        <v>0</v>
      </c>
      <c r="C1934" s="143"/>
      <c r="D1934" s="144"/>
      <c r="E1934" s="143"/>
      <c r="F1934" s="143"/>
      <c r="G1934" s="147"/>
      <c r="H1934" s="146"/>
    </row>
    <row r="1935" spans="2:8" ht="14.25" x14ac:dyDescent="0.2">
      <c r="B1935" s="143">
        <f t="shared" si="36"/>
        <v>0</v>
      </c>
      <c r="C1935" s="143"/>
      <c r="D1935" s="144"/>
      <c r="E1935" s="143"/>
      <c r="F1935" s="143"/>
      <c r="G1935" s="147"/>
      <c r="H1935" s="146"/>
    </row>
    <row r="1936" spans="2:8" ht="14.25" x14ac:dyDescent="0.2">
      <c r="B1936" s="143">
        <f t="shared" si="36"/>
        <v>0</v>
      </c>
      <c r="C1936" s="143"/>
      <c r="D1936" s="144"/>
      <c r="E1936" s="143"/>
      <c r="F1936" s="143"/>
      <c r="G1936" s="147"/>
      <c r="H1936" s="146"/>
    </row>
    <row r="1937" spans="2:8" ht="14.25" x14ac:dyDescent="0.2">
      <c r="B1937" s="143">
        <f t="shared" si="36"/>
        <v>0</v>
      </c>
      <c r="C1937" s="143"/>
      <c r="D1937" s="144"/>
      <c r="E1937" s="143"/>
      <c r="F1937" s="143"/>
      <c r="G1937" s="147"/>
      <c r="H1937" s="146"/>
    </row>
    <row r="1938" spans="2:8" ht="14.25" x14ac:dyDescent="0.2">
      <c r="B1938" s="143">
        <f t="shared" si="36"/>
        <v>0</v>
      </c>
      <c r="C1938" s="143"/>
      <c r="D1938" s="144"/>
      <c r="E1938" s="143"/>
      <c r="F1938" s="143"/>
      <c r="G1938" s="147"/>
      <c r="H1938" s="146"/>
    </row>
    <row r="1939" spans="2:8" ht="14.25" x14ac:dyDescent="0.2">
      <c r="B1939" s="143">
        <f t="shared" si="36"/>
        <v>0</v>
      </c>
      <c r="C1939" s="143"/>
      <c r="D1939" s="144"/>
      <c r="E1939" s="143"/>
      <c r="F1939" s="143"/>
      <c r="G1939" s="147"/>
      <c r="H1939" s="146"/>
    </row>
    <row r="1940" spans="2:8" ht="14.25" x14ac:dyDescent="0.2">
      <c r="B1940" s="143">
        <f t="shared" si="36"/>
        <v>0</v>
      </c>
      <c r="C1940" s="143"/>
      <c r="D1940" s="144"/>
      <c r="E1940" s="143"/>
      <c r="F1940" s="143"/>
      <c r="G1940" s="147"/>
      <c r="H1940" s="146"/>
    </row>
    <row r="1941" spans="2:8" ht="14.25" x14ac:dyDescent="0.2">
      <c r="B1941" s="143">
        <f t="shared" si="36"/>
        <v>0</v>
      </c>
      <c r="C1941" s="143"/>
      <c r="D1941" s="144"/>
      <c r="E1941" s="143"/>
      <c r="F1941" s="143"/>
      <c r="G1941" s="147"/>
      <c r="H1941" s="146"/>
    </row>
    <row r="1942" spans="2:8" ht="14.25" x14ac:dyDescent="0.2">
      <c r="B1942" s="143">
        <f t="shared" si="36"/>
        <v>0</v>
      </c>
      <c r="C1942" s="143"/>
      <c r="D1942" s="144"/>
      <c r="E1942" s="143"/>
      <c r="F1942" s="143"/>
      <c r="G1942" s="147"/>
      <c r="H1942" s="146"/>
    </row>
    <row r="1943" spans="2:8" ht="14.25" x14ac:dyDescent="0.2">
      <c r="B1943" s="143">
        <f t="shared" si="36"/>
        <v>0</v>
      </c>
      <c r="C1943" s="143"/>
      <c r="D1943" s="144"/>
      <c r="E1943" s="143"/>
      <c r="F1943" s="143"/>
      <c r="G1943" s="147"/>
      <c r="H1943" s="146"/>
    </row>
    <row r="1944" spans="2:8" ht="14.25" x14ac:dyDescent="0.2">
      <c r="B1944" s="143">
        <f t="shared" si="36"/>
        <v>0</v>
      </c>
      <c r="C1944" s="143"/>
      <c r="D1944" s="144"/>
      <c r="E1944" s="143"/>
      <c r="F1944" s="143"/>
      <c r="G1944" s="147"/>
      <c r="H1944" s="146"/>
    </row>
    <row r="1945" spans="2:8" ht="14.25" x14ac:dyDescent="0.2">
      <c r="B1945" s="143">
        <f t="shared" si="36"/>
        <v>0</v>
      </c>
      <c r="C1945" s="143"/>
      <c r="D1945" s="144"/>
      <c r="E1945" s="143"/>
      <c r="F1945" s="143"/>
      <c r="G1945" s="147"/>
      <c r="H1945" s="146"/>
    </row>
    <row r="1946" spans="2:8" ht="14.25" x14ac:dyDescent="0.2">
      <c r="B1946" s="143">
        <f t="shared" si="36"/>
        <v>0</v>
      </c>
      <c r="C1946" s="143"/>
      <c r="D1946" s="144"/>
      <c r="E1946" s="143"/>
      <c r="F1946" s="143"/>
      <c r="G1946" s="147"/>
      <c r="H1946" s="146"/>
    </row>
    <row r="1947" spans="2:8" ht="14.25" x14ac:dyDescent="0.2">
      <c r="B1947" s="143">
        <f t="shared" si="36"/>
        <v>0</v>
      </c>
      <c r="C1947" s="143"/>
      <c r="D1947" s="144"/>
      <c r="E1947" s="143"/>
      <c r="F1947" s="143"/>
      <c r="G1947" s="147"/>
      <c r="H1947" s="146"/>
    </row>
    <row r="1948" spans="2:8" ht="14.25" x14ac:dyDescent="0.2">
      <c r="B1948" s="143">
        <f t="shared" si="36"/>
        <v>0</v>
      </c>
      <c r="C1948" s="143"/>
      <c r="D1948" s="144"/>
      <c r="E1948" s="143"/>
      <c r="F1948" s="143"/>
      <c r="G1948" s="147"/>
      <c r="H1948" s="146"/>
    </row>
    <row r="1949" spans="2:8" ht="14.25" x14ac:dyDescent="0.2">
      <c r="B1949" s="143">
        <f t="shared" si="36"/>
        <v>0</v>
      </c>
      <c r="C1949" s="143"/>
      <c r="D1949" s="144"/>
      <c r="E1949" s="143"/>
      <c r="F1949" s="143"/>
      <c r="G1949" s="147"/>
      <c r="H1949" s="146"/>
    </row>
    <row r="1950" spans="2:8" ht="14.25" x14ac:dyDescent="0.2">
      <c r="B1950" s="143">
        <f t="shared" si="36"/>
        <v>0</v>
      </c>
      <c r="C1950" s="143"/>
      <c r="D1950" s="144"/>
      <c r="E1950" s="143"/>
      <c r="F1950" s="143"/>
      <c r="G1950" s="147"/>
      <c r="H1950" s="146"/>
    </row>
    <row r="1951" spans="2:8" ht="14.25" x14ac:dyDescent="0.2">
      <c r="B1951" s="143">
        <f t="shared" si="36"/>
        <v>0</v>
      </c>
      <c r="C1951" s="143"/>
      <c r="D1951" s="144"/>
      <c r="E1951" s="143"/>
      <c r="F1951" s="143"/>
      <c r="G1951" s="147"/>
      <c r="H1951" s="146"/>
    </row>
    <row r="1952" spans="2:8" ht="14.25" x14ac:dyDescent="0.2">
      <c r="B1952" s="143">
        <f t="shared" si="36"/>
        <v>0</v>
      </c>
      <c r="C1952" s="143"/>
      <c r="D1952" s="144"/>
      <c r="E1952" s="143"/>
      <c r="F1952" s="143"/>
      <c r="G1952" s="147"/>
      <c r="H1952" s="146"/>
    </row>
    <row r="1953" spans="2:8" ht="14.25" x14ac:dyDescent="0.2">
      <c r="B1953" s="143">
        <f t="shared" si="36"/>
        <v>0</v>
      </c>
      <c r="C1953" s="143"/>
      <c r="D1953" s="144"/>
      <c r="E1953" s="143"/>
      <c r="F1953" s="143"/>
      <c r="G1953" s="147"/>
      <c r="H1953" s="146"/>
    </row>
    <row r="1954" spans="2:8" ht="14.25" x14ac:dyDescent="0.2">
      <c r="B1954" s="143">
        <f t="shared" si="36"/>
        <v>0</v>
      </c>
      <c r="C1954" s="143"/>
      <c r="D1954" s="144"/>
      <c r="E1954" s="143"/>
      <c r="F1954" s="143"/>
      <c r="G1954" s="147"/>
      <c r="H1954" s="146"/>
    </row>
    <row r="1955" spans="2:8" ht="14.25" x14ac:dyDescent="0.2">
      <c r="B1955" s="143">
        <f t="shared" si="36"/>
        <v>0</v>
      </c>
      <c r="C1955" s="143"/>
      <c r="D1955" s="144"/>
      <c r="E1955" s="143"/>
      <c r="F1955" s="143"/>
      <c r="G1955" s="147"/>
      <c r="H1955" s="146"/>
    </row>
    <row r="1956" spans="2:8" ht="14.25" x14ac:dyDescent="0.2">
      <c r="B1956" s="143">
        <f t="shared" si="36"/>
        <v>0</v>
      </c>
      <c r="C1956" s="143"/>
      <c r="D1956" s="144"/>
      <c r="E1956" s="143"/>
      <c r="F1956" s="143"/>
      <c r="G1956" s="147"/>
      <c r="H1956" s="146"/>
    </row>
    <row r="1957" spans="2:8" ht="14.25" x14ac:dyDescent="0.2">
      <c r="B1957" s="143">
        <f t="shared" si="36"/>
        <v>0</v>
      </c>
      <c r="C1957" s="143"/>
      <c r="D1957" s="144"/>
      <c r="E1957" s="143"/>
      <c r="F1957" s="143"/>
      <c r="G1957" s="147"/>
      <c r="H1957" s="146"/>
    </row>
    <row r="1958" spans="2:8" ht="14.25" x14ac:dyDescent="0.2">
      <c r="B1958" s="143">
        <f t="shared" si="36"/>
        <v>0</v>
      </c>
      <c r="C1958" s="143"/>
      <c r="D1958" s="144"/>
      <c r="E1958" s="143"/>
      <c r="F1958" s="143"/>
      <c r="G1958" s="147"/>
      <c r="H1958" s="146"/>
    </row>
    <row r="1959" spans="2:8" ht="14.25" x14ac:dyDescent="0.2">
      <c r="B1959" s="143">
        <f t="shared" si="36"/>
        <v>0</v>
      </c>
      <c r="C1959" s="143"/>
      <c r="D1959" s="144"/>
      <c r="E1959" s="143"/>
      <c r="F1959" s="143"/>
      <c r="G1959" s="147"/>
      <c r="H1959" s="146"/>
    </row>
    <row r="1960" spans="2:8" ht="14.25" x14ac:dyDescent="0.2">
      <c r="B1960" s="143">
        <f t="shared" si="36"/>
        <v>0</v>
      </c>
      <c r="C1960" s="143"/>
      <c r="D1960" s="144"/>
      <c r="E1960" s="143"/>
      <c r="F1960" s="143"/>
      <c r="G1960" s="147"/>
      <c r="H1960" s="146"/>
    </row>
    <row r="1961" spans="2:8" ht="14.25" x14ac:dyDescent="0.2">
      <c r="B1961" s="143">
        <f t="shared" si="36"/>
        <v>0</v>
      </c>
      <c r="C1961" s="143"/>
      <c r="D1961" s="144"/>
      <c r="E1961" s="143"/>
      <c r="F1961" s="143"/>
      <c r="G1961" s="147"/>
      <c r="H1961" s="146"/>
    </row>
    <row r="1962" spans="2:8" ht="14.25" x14ac:dyDescent="0.2">
      <c r="B1962" s="143">
        <f t="shared" si="36"/>
        <v>0</v>
      </c>
      <c r="C1962" s="143"/>
      <c r="D1962" s="144"/>
      <c r="E1962" s="143"/>
      <c r="F1962" s="143"/>
      <c r="G1962" s="147"/>
      <c r="H1962" s="146"/>
    </row>
    <row r="1963" spans="2:8" ht="14.25" x14ac:dyDescent="0.2">
      <c r="B1963" s="143">
        <f t="shared" si="36"/>
        <v>0</v>
      </c>
      <c r="C1963" s="143"/>
      <c r="D1963" s="144"/>
      <c r="E1963" s="143"/>
      <c r="F1963" s="143"/>
      <c r="G1963" s="147"/>
      <c r="H1963" s="146"/>
    </row>
    <row r="1964" spans="2:8" ht="14.25" x14ac:dyDescent="0.2">
      <c r="B1964" s="143">
        <f t="shared" si="36"/>
        <v>0</v>
      </c>
      <c r="C1964" s="143"/>
      <c r="D1964" s="144"/>
      <c r="E1964" s="143"/>
      <c r="F1964" s="143"/>
      <c r="G1964" s="147"/>
      <c r="H1964" s="146"/>
    </row>
    <row r="1965" spans="2:8" ht="14.25" x14ac:dyDescent="0.2">
      <c r="B1965" s="143">
        <f t="shared" si="36"/>
        <v>0</v>
      </c>
      <c r="C1965" s="143"/>
      <c r="D1965" s="144"/>
      <c r="E1965" s="143"/>
      <c r="F1965" s="143"/>
      <c r="G1965" s="147"/>
      <c r="H1965" s="146"/>
    </row>
    <row r="1966" spans="2:8" ht="14.25" x14ac:dyDescent="0.2">
      <c r="B1966" s="143">
        <f t="shared" si="36"/>
        <v>0</v>
      </c>
      <c r="C1966" s="143"/>
      <c r="D1966" s="144"/>
      <c r="E1966" s="143"/>
      <c r="F1966" s="143"/>
      <c r="G1966" s="147"/>
      <c r="H1966" s="146"/>
    </row>
    <row r="1967" spans="2:8" ht="14.25" x14ac:dyDescent="0.2">
      <c r="B1967" s="143">
        <f t="shared" si="36"/>
        <v>0</v>
      </c>
      <c r="C1967" s="143"/>
      <c r="D1967" s="144"/>
      <c r="E1967" s="143"/>
      <c r="F1967" s="143"/>
      <c r="G1967" s="147"/>
      <c r="H1967" s="146"/>
    </row>
    <row r="1968" spans="2:8" ht="14.25" x14ac:dyDescent="0.2">
      <c r="B1968" s="143">
        <f t="shared" si="36"/>
        <v>0</v>
      </c>
      <c r="C1968" s="143"/>
      <c r="D1968" s="144"/>
      <c r="E1968" s="143"/>
      <c r="F1968" s="143"/>
      <c r="G1968" s="147"/>
      <c r="H1968" s="146"/>
    </row>
    <row r="1969" spans="2:8" ht="14.25" x14ac:dyDescent="0.2">
      <c r="B1969" s="143">
        <f t="shared" si="36"/>
        <v>0</v>
      </c>
      <c r="C1969" s="143"/>
      <c r="D1969" s="144"/>
      <c r="E1969" s="143"/>
      <c r="F1969" s="143"/>
      <c r="G1969" s="147"/>
      <c r="H1969" s="146"/>
    </row>
    <row r="1970" spans="2:8" ht="14.25" x14ac:dyDescent="0.2">
      <c r="B1970" s="143">
        <f t="shared" si="36"/>
        <v>0</v>
      </c>
      <c r="C1970" s="143"/>
      <c r="D1970" s="144"/>
      <c r="E1970" s="143"/>
      <c r="F1970" s="143"/>
      <c r="G1970" s="147"/>
      <c r="H1970" s="146"/>
    </row>
    <row r="1971" spans="2:8" ht="14.25" x14ac:dyDescent="0.2">
      <c r="B1971" s="143">
        <f t="shared" si="36"/>
        <v>0</v>
      </c>
      <c r="C1971" s="143"/>
      <c r="D1971" s="144"/>
      <c r="E1971" s="143"/>
      <c r="F1971" s="143"/>
      <c r="G1971" s="147"/>
      <c r="H1971" s="146"/>
    </row>
    <row r="1972" spans="2:8" ht="14.25" x14ac:dyDescent="0.2">
      <c r="B1972" s="143">
        <f t="shared" si="36"/>
        <v>0</v>
      </c>
      <c r="C1972" s="143"/>
      <c r="D1972" s="144"/>
      <c r="E1972" s="143"/>
      <c r="F1972" s="143"/>
      <c r="G1972" s="147"/>
      <c r="H1972" s="146"/>
    </row>
    <row r="1973" spans="2:8" ht="14.25" x14ac:dyDescent="0.2">
      <c r="B1973" s="143">
        <f t="shared" si="36"/>
        <v>0</v>
      </c>
      <c r="C1973" s="143"/>
      <c r="D1973" s="144"/>
      <c r="E1973" s="143"/>
      <c r="F1973" s="143"/>
      <c r="G1973" s="147"/>
      <c r="H1973" s="146"/>
    </row>
    <row r="1974" spans="2:8" ht="14.25" x14ac:dyDescent="0.2">
      <c r="B1974" s="143">
        <f t="shared" si="36"/>
        <v>0</v>
      </c>
      <c r="C1974" s="143"/>
      <c r="D1974" s="144"/>
      <c r="E1974" s="143"/>
      <c r="F1974" s="143"/>
      <c r="G1974" s="147"/>
      <c r="H1974" s="146"/>
    </row>
    <row r="1975" spans="2:8" ht="14.25" x14ac:dyDescent="0.2">
      <c r="B1975" s="143">
        <f t="shared" si="36"/>
        <v>0</v>
      </c>
      <c r="C1975" s="143"/>
      <c r="D1975" s="144"/>
      <c r="E1975" s="143"/>
      <c r="F1975" s="143"/>
      <c r="G1975" s="147"/>
      <c r="H1975" s="146"/>
    </row>
    <row r="1976" spans="2:8" ht="14.25" x14ac:dyDescent="0.2">
      <c r="B1976" s="143">
        <f t="shared" ref="B1976:B2039" si="37">WEEKNUM(D1976)</f>
        <v>0</v>
      </c>
      <c r="C1976" s="143"/>
      <c r="D1976" s="144"/>
      <c r="E1976" s="143"/>
      <c r="F1976" s="143"/>
      <c r="G1976" s="147"/>
      <c r="H1976" s="146"/>
    </row>
    <row r="1977" spans="2:8" ht="14.25" x14ac:dyDescent="0.2">
      <c r="B1977" s="143">
        <f t="shared" si="37"/>
        <v>0</v>
      </c>
      <c r="C1977" s="143"/>
      <c r="D1977" s="144"/>
      <c r="E1977" s="143"/>
      <c r="F1977" s="143"/>
      <c r="G1977" s="147"/>
      <c r="H1977" s="146"/>
    </row>
    <row r="1978" spans="2:8" ht="14.25" x14ac:dyDescent="0.2">
      <c r="B1978" s="143">
        <f t="shared" si="37"/>
        <v>0</v>
      </c>
      <c r="C1978" s="143"/>
      <c r="D1978" s="144"/>
      <c r="E1978" s="143"/>
      <c r="F1978" s="143"/>
      <c r="G1978" s="147"/>
      <c r="H1978" s="146"/>
    </row>
    <row r="1979" spans="2:8" ht="14.25" x14ac:dyDescent="0.2">
      <c r="B1979" s="143">
        <f t="shared" si="37"/>
        <v>0</v>
      </c>
      <c r="C1979" s="143"/>
      <c r="D1979" s="144"/>
      <c r="E1979" s="143"/>
      <c r="F1979" s="143"/>
      <c r="G1979" s="147"/>
      <c r="H1979" s="146"/>
    </row>
    <row r="1980" spans="2:8" ht="14.25" x14ac:dyDescent="0.2">
      <c r="B1980" s="143">
        <f t="shared" si="37"/>
        <v>0</v>
      </c>
      <c r="C1980" s="143"/>
      <c r="D1980" s="144"/>
      <c r="E1980" s="143"/>
      <c r="F1980" s="143"/>
      <c r="G1980" s="147"/>
      <c r="H1980" s="146"/>
    </row>
    <row r="1981" spans="2:8" ht="14.25" x14ac:dyDescent="0.2">
      <c r="B1981" s="143">
        <f t="shared" si="37"/>
        <v>0</v>
      </c>
      <c r="C1981" s="143"/>
      <c r="D1981" s="144"/>
      <c r="E1981" s="143"/>
      <c r="F1981" s="143"/>
      <c r="G1981" s="147"/>
      <c r="H1981" s="146"/>
    </row>
    <row r="1982" spans="2:8" ht="14.25" x14ac:dyDescent="0.2">
      <c r="B1982" s="143">
        <f t="shared" si="37"/>
        <v>0</v>
      </c>
      <c r="C1982" s="143"/>
      <c r="D1982" s="144"/>
      <c r="E1982" s="143"/>
      <c r="F1982" s="143"/>
      <c r="G1982" s="147"/>
      <c r="H1982" s="146"/>
    </row>
    <row r="1983" spans="2:8" ht="14.25" x14ac:dyDescent="0.2">
      <c r="B1983" s="143">
        <f t="shared" si="37"/>
        <v>0</v>
      </c>
      <c r="C1983" s="143"/>
      <c r="D1983" s="144"/>
      <c r="E1983" s="143"/>
      <c r="F1983" s="143"/>
      <c r="G1983" s="147"/>
      <c r="H1983" s="146"/>
    </row>
    <row r="1984" spans="2:8" ht="14.25" x14ac:dyDescent="0.2">
      <c r="B1984" s="143">
        <f t="shared" si="37"/>
        <v>0</v>
      </c>
      <c r="C1984" s="143"/>
      <c r="D1984" s="144"/>
      <c r="E1984" s="143"/>
      <c r="F1984" s="143"/>
      <c r="G1984" s="147"/>
      <c r="H1984" s="146"/>
    </row>
    <row r="1985" spans="2:8" ht="14.25" x14ac:dyDescent="0.2">
      <c r="B1985" s="143">
        <f t="shared" si="37"/>
        <v>0</v>
      </c>
      <c r="C1985" s="143"/>
      <c r="D1985" s="144"/>
      <c r="E1985" s="143"/>
      <c r="F1985" s="143"/>
      <c r="G1985" s="147"/>
      <c r="H1985" s="146"/>
    </row>
    <row r="1986" spans="2:8" ht="14.25" x14ac:dyDescent="0.2">
      <c r="B1986" s="143">
        <f t="shared" si="37"/>
        <v>0</v>
      </c>
      <c r="C1986" s="143"/>
      <c r="D1986" s="144"/>
      <c r="E1986" s="143"/>
      <c r="F1986" s="143"/>
      <c r="G1986" s="147"/>
      <c r="H1986" s="146"/>
    </row>
    <row r="1987" spans="2:8" ht="14.25" x14ac:dyDescent="0.2">
      <c r="B1987" s="143">
        <f t="shared" si="37"/>
        <v>0</v>
      </c>
      <c r="C1987" s="143"/>
      <c r="D1987" s="144"/>
      <c r="E1987" s="143"/>
      <c r="F1987" s="143"/>
      <c r="G1987" s="147"/>
      <c r="H1987" s="146"/>
    </row>
    <row r="1988" spans="2:8" ht="14.25" x14ac:dyDescent="0.2">
      <c r="B1988" s="143">
        <f t="shared" si="37"/>
        <v>0</v>
      </c>
      <c r="C1988" s="143"/>
      <c r="D1988" s="144"/>
      <c r="E1988" s="143"/>
      <c r="F1988" s="143"/>
      <c r="G1988" s="147"/>
      <c r="H1988" s="146"/>
    </row>
    <row r="1989" spans="2:8" ht="14.25" x14ac:dyDescent="0.2">
      <c r="B1989" s="143">
        <f t="shared" si="37"/>
        <v>0</v>
      </c>
      <c r="C1989" s="143"/>
      <c r="D1989" s="144"/>
      <c r="E1989" s="143"/>
      <c r="F1989" s="143"/>
      <c r="G1989" s="147"/>
      <c r="H1989" s="146"/>
    </row>
    <row r="1990" spans="2:8" ht="14.25" x14ac:dyDescent="0.2">
      <c r="B1990" s="143">
        <f t="shared" si="37"/>
        <v>0</v>
      </c>
      <c r="C1990" s="143"/>
      <c r="D1990" s="144"/>
      <c r="E1990" s="143"/>
      <c r="F1990" s="143"/>
      <c r="G1990" s="147"/>
      <c r="H1990" s="146"/>
    </row>
    <row r="1991" spans="2:8" ht="14.25" x14ac:dyDescent="0.2">
      <c r="B1991" s="143">
        <f t="shared" si="37"/>
        <v>0</v>
      </c>
      <c r="C1991" s="143"/>
      <c r="D1991" s="144"/>
      <c r="E1991" s="143"/>
      <c r="F1991" s="143"/>
      <c r="G1991" s="147"/>
      <c r="H1991" s="146"/>
    </row>
    <row r="1992" spans="2:8" ht="14.25" x14ac:dyDescent="0.2">
      <c r="B1992" s="143">
        <f t="shared" si="37"/>
        <v>0</v>
      </c>
      <c r="C1992" s="143"/>
      <c r="D1992" s="144"/>
      <c r="E1992" s="143"/>
      <c r="F1992" s="143"/>
      <c r="G1992" s="147"/>
      <c r="H1992" s="146"/>
    </row>
    <row r="1993" spans="2:8" ht="14.25" x14ac:dyDescent="0.2">
      <c r="B1993" s="143">
        <f t="shared" si="37"/>
        <v>0</v>
      </c>
      <c r="C1993" s="143"/>
      <c r="D1993" s="144"/>
      <c r="E1993" s="143"/>
      <c r="F1993" s="143"/>
      <c r="G1993" s="147"/>
      <c r="H1993" s="146"/>
    </row>
    <row r="1994" spans="2:8" ht="14.25" x14ac:dyDescent="0.2">
      <c r="B1994" s="143">
        <f t="shared" si="37"/>
        <v>0</v>
      </c>
      <c r="C1994" s="143"/>
      <c r="D1994" s="144"/>
      <c r="E1994" s="143"/>
      <c r="F1994" s="143"/>
      <c r="G1994" s="147"/>
      <c r="H1994" s="146"/>
    </row>
    <row r="1995" spans="2:8" ht="14.25" x14ac:dyDescent="0.2">
      <c r="B1995" s="143">
        <f t="shared" si="37"/>
        <v>0</v>
      </c>
      <c r="C1995" s="143"/>
      <c r="D1995" s="144"/>
      <c r="E1995" s="143"/>
      <c r="F1995" s="143"/>
      <c r="G1995" s="147"/>
      <c r="H1995" s="146"/>
    </row>
    <row r="1996" spans="2:8" ht="14.25" x14ac:dyDescent="0.2">
      <c r="B1996" s="143">
        <f t="shared" si="37"/>
        <v>0</v>
      </c>
      <c r="C1996" s="143"/>
      <c r="D1996" s="144"/>
      <c r="E1996" s="143"/>
      <c r="F1996" s="143"/>
      <c r="G1996" s="147"/>
      <c r="H1996" s="146"/>
    </row>
    <row r="1997" spans="2:8" ht="14.25" x14ac:dyDescent="0.2">
      <c r="B1997" s="143">
        <f t="shared" si="37"/>
        <v>0</v>
      </c>
      <c r="C1997" s="143"/>
      <c r="D1997" s="144"/>
      <c r="E1997" s="143"/>
      <c r="F1997" s="143"/>
      <c r="G1997" s="147"/>
      <c r="H1997" s="146"/>
    </row>
    <row r="1998" spans="2:8" ht="14.25" x14ac:dyDescent="0.2">
      <c r="B1998" s="143">
        <f t="shared" si="37"/>
        <v>0</v>
      </c>
      <c r="C1998" s="143"/>
      <c r="D1998" s="144"/>
      <c r="E1998" s="143"/>
      <c r="F1998" s="143"/>
      <c r="G1998" s="147"/>
      <c r="H1998" s="146"/>
    </row>
    <row r="1999" spans="2:8" ht="14.25" x14ac:dyDescent="0.2">
      <c r="B1999" s="143">
        <f t="shared" si="37"/>
        <v>0</v>
      </c>
      <c r="C1999" s="143"/>
      <c r="D1999" s="144"/>
      <c r="E1999" s="143"/>
      <c r="F1999" s="143"/>
      <c r="G1999" s="147"/>
      <c r="H1999" s="146"/>
    </row>
    <row r="2000" spans="2:8" ht="14.25" x14ac:dyDescent="0.2">
      <c r="B2000" s="143">
        <f t="shared" si="37"/>
        <v>0</v>
      </c>
      <c r="C2000" s="143"/>
      <c r="D2000" s="144"/>
      <c r="E2000" s="143"/>
      <c r="F2000" s="143"/>
      <c r="G2000" s="147"/>
      <c r="H2000" s="146"/>
    </row>
    <row r="2001" spans="2:8" ht="14.25" x14ac:dyDescent="0.2">
      <c r="B2001" s="143">
        <f t="shared" si="37"/>
        <v>0</v>
      </c>
      <c r="C2001" s="143"/>
      <c r="D2001" s="144"/>
      <c r="E2001" s="143"/>
      <c r="F2001" s="143"/>
      <c r="G2001" s="147"/>
      <c r="H2001" s="146"/>
    </row>
    <row r="2002" spans="2:8" ht="14.25" x14ac:dyDescent="0.2">
      <c r="B2002" s="143">
        <f t="shared" si="37"/>
        <v>0</v>
      </c>
      <c r="C2002" s="143"/>
      <c r="D2002" s="144"/>
      <c r="E2002" s="143"/>
      <c r="F2002" s="143"/>
      <c r="G2002" s="147"/>
      <c r="H2002" s="146"/>
    </row>
    <row r="2003" spans="2:8" ht="14.25" x14ac:dyDescent="0.2">
      <c r="B2003" s="143">
        <f t="shared" si="37"/>
        <v>0</v>
      </c>
      <c r="C2003" s="143"/>
      <c r="D2003" s="144"/>
      <c r="E2003" s="143"/>
      <c r="F2003" s="143"/>
      <c r="G2003" s="147"/>
      <c r="H2003" s="146"/>
    </row>
    <row r="2004" spans="2:8" ht="14.25" x14ac:dyDescent="0.2">
      <c r="B2004" s="143">
        <f t="shared" si="37"/>
        <v>0</v>
      </c>
      <c r="C2004" s="143"/>
      <c r="D2004" s="144"/>
      <c r="E2004" s="143"/>
      <c r="F2004" s="143"/>
      <c r="G2004" s="147"/>
      <c r="H2004" s="146"/>
    </row>
    <row r="2005" spans="2:8" ht="14.25" x14ac:dyDescent="0.2">
      <c r="B2005" s="143">
        <f t="shared" si="37"/>
        <v>0</v>
      </c>
      <c r="C2005" s="143"/>
      <c r="D2005" s="144"/>
      <c r="E2005" s="143"/>
      <c r="F2005" s="143"/>
      <c r="G2005" s="147"/>
      <c r="H2005" s="146"/>
    </row>
    <row r="2006" spans="2:8" ht="14.25" x14ac:dyDescent="0.2">
      <c r="B2006" s="143">
        <f t="shared" si="37"/>
        <v>0</v>
      </c>
      <c r="C2006" s="143"/>
      <c r="D2006" s="144"/>
      <c r="E2006" s="143"/>
      <c r="F2006" s="143"/>
      <c r="G2006" s="147"/>
      <c r="H2006" s="146"/>
    </row>
    <row r="2007" spans="2:8" ht="14.25" x14ac:dyDescent="0.2">
      <c r="B2007" s="143">
        <f t="shared" si="37"/>
        <v>0</v>
      </c>
      <c r="C2007" s="143"/>
      <c r="D2007" s="144"/>
      <c r="E2007" s="143"/>
      <c r="F2007" s="143"/>
      <c r="G2007" s="147"/>
      <c r="H2007" s="146"/>
    </row>
    <row r="2008" spans="2:8" ht="14.25" x14ac:dyDescent="0.2">
      <c r="B2008" s="143">
        <f t="shared" si="37"/>
        <v>0</v>
      </c>
      <c r="C2008" s="143"/>
      <c r="D2008" s="144"/>
      <c r="E2008" s="143"/>
      <c r="F2008" s="143"/>
      <c r="G2008" s="147"/>
      <c r="H2008" s="146"/>
    </row>
    <row r="2009" spans="2:8" ht="14.25" x14ac:dyDescent="0.2">
      <c r="B2009" s="143">
        <f t="shared" si="37"/>
        <v>0</v>
      </c>
      <c r="C2009" s="143"/>
      <c r="D2009" s="144"/>
      <c r="E2009" s="143"/>
      <c r="F2009" s="143"/>
      <c r="G2009" s="147"/>
      <c r="H2009" s="146"/>
    </row>
    <row r="2010" spans="2:8" ht="14.25" x14ac:dyDescent="0.2">
      <c r="B2010" s="143">
        <f t="shared" si="37"/>
        <v>0</v>
      </c>
      <c r="C2010" s="143"/>
      <c r="D2010" s="144"/>
      <c r="E2010" s="143"/>
      <c r="F2010" s="143"/>
      <c r="G2010" s="147"/>
      <c r="H2010" s="146"/>
    </row>
    <row r="2011" spans="2:8" ht="14.25" x14ac:dyDescent="0.2">
      <c r="B2011" s="143">
        <f t="shared" si="37"/>
        <v>0</v>
      </c>
      <c r="C2011" s="143"/>
      <c r="D2011" s="144"/>
      <c r="E2011" s="143"/>
      <c r="F2011" s="143"/>
      <c r="G2011" s="147"/>
      <c r="H2011" s="146"/>
    </row>
    <row r="2012" spans="2:8" ht="14.25" x14ac:dyDescent="0.2">
      <c r="B2012" s="143">
        <f t="shared" si="37"/>
        <v>0</v>
      </c>
      <c r="C2012" s="143"/>
      <c r="D2012" s="144"/>
      <c r="E2012" s="143"/>
      <c r="F2012" s="143"/>
      <c r="G2012" s="147"/>
      <c r="H2012" s="146"/>
    </row>
    <row r="2013" spans="2:8" ht="14.25" x14ac:dyDescent="0.2">
      <c r="B2013" s="143">
        <f t="shared" si="37"/>
        <v>0</v>
      </c>
      <c r="C2013" s="143"/>
      <c r="D2013" s="144"/>
      <c r="E2013" s="143"/>
      <c r="F2013" s="143"/>
      <c r="G2013" s="147"/>
      <c r="H2013" s="146"/>
    </row>
    <row r="2014" spans="2:8" ht="14.25" x14ac:dyDescent="0.2">
      <c r="B2014" s="143">
        <f t="shared" si="37"/>
        <v>0</v>
      </c>
      <c r="C2014" s="143"/>
      <c r="D2014" s="144"/>
      <c r="E2014" s="143"/>
      <c r="F2014" s="143"/>
      <c r="G2014" s="147"/>
      <c r="H2014" s="146"/>
    </row>
    <row r="2015" spans="2:8" ht="14.25" x14ac:dyDescent="0.2">
      <c r="B2015" s="143">
        <f t="shared" si="37"/>
        <v>0</v>
      </c>
      <c r="C2015" s="143"/>
      <c r="D2015" s="144"/>
      <c r="E2015" s="143"/>
      <c r="F2015" s="143"/>
      <c r="G2015" s="147"/>
      <c r="H2015" s="146"/>
    </row>
    <row r="2016" spans="2:8" ht="14.25" x14ac:dyDescent="0.2">
      <c r="B2016" s="143">
        <f t="shared" si="37"/>
        <v>0</v>
      </c>
      <c r="C2016" s="143"/>
      <c r="D2016" s="144"/>
      <c r="E2016" s="143"/>
      <c r="F2016" s="143"/>
      <c r="G2016" s="147"/>
      <c r="H2016" s="146"/>
    </row>
    <row r="2017" spans="2:8" ht="14.25" x14ac:dyDescent="0.2">
      <c r="B2017" s="143">
        <f t="shared" si="37"/>
        <v>0</v>
      </c>
      <c r="C2017" s="143"/>
      <c r="D2017" s="144"/>
      <c r="E2017" s="143"/>
      <c r="F2017" s="143"/>
      <c r="G2017" s="147"/>
      <c r="H2017" s="146"/>
    </row>
    <row r="2018" spans="2:8" ht="14.25" x14ac:dyDescent="0.2">
      <c r="B2018" s="143">
        <f t="shared" si="37"/>
        <v>0</v>
      </c>
      <c r="C2018" s="143"/>
      <c r="D2018" s="144"/>
      <c r="E2018" s="143"/>
      <c r="F2018" s="143"/>
      <c r="G2018" s="147"/>
      <c r="H2018" s="146"/>
    </row>
    <row r="2019" spans="2:8" ht="14.25" x14ac:dyDescent="0.2">
      <c r="B2019" s="143">
        <f t="shared" si="37"/>
        <v>0</v>
      </c>
      <c r="C2019" s="143"/>
      <c r="D2019" s="144"/>
      <c r="E2019" s="143"/>
      <c r="F2019" s="143"/>
      <c r="G2019" s="147"/>
      <c r="H2019" s="146"/>
    </row>
    <row r="2020" spans="2:8" ht="14.25" x14ac:dyDescent="0.2">
      <c r="B2020" s="143">
        <f t="shared" si="37"/>
        <v>0</v>
      </c>
      <c r="C2020" s="143"/>
      <c r="D2020" s="144"/>
      <c r="E2020" s="143"/>
      <c r="F2020" s="143"/>
      <c r="G2020" s="147"/>
      <c r="H2020" s="146"/>
    </row>
    <row r="2021" spans="2:8" ht="14.25" x14ac:dyDescent="0.2">
      <c r="B2021" s="143">
        <f t="shared" si="37"/>
        <v>0</v>
      </c>
      <c r="C2021" s="143"/>
      <c r="D2021" s="144"/>
      <c r="E2021" s="143"/>
      <c r="F2021" s="143"/>
      <c r="G2021" s="147"/>
      <c r="H2021" s="146"/>
    </row>
    <row r="2022" spans="2:8" ht="14.25" x14ac:dyDescent="0.2">
      <c r="B2022" s="143">
        <f t="shared" si="37"/>
        <v>0</v>
      </c>
      <c r="C2022" s="143"/>
      <c r="D2022" s="144"/>
      <c r="E2022" s="143"/>
      <c r="F2022" s="143"/>
      <c r="G2022" s="147"/>
      <c r="H2022" s="146"/>
    </row>
    <row r="2023" spans="2:8" ht="14.25" x14ac:dyDescent="0.2">
      <c r="B2023" s="143">
        <f t="shared" si="37"/>
        <v>0</v>
      </c>
      <c r="C2023" s="143"/>
      <c r="D2023" s="144"/>
      <c r="E2023" s="143"/>
      <c r="F2023" s="143"/>
      <c r="G2023" s="147"/>
      <c r="H2023" s="146"/>
    </row>
    <row r="2024" spans="2:8" ht="14.25" x14ac:dyDescent="0.2">
      <c r="B2024" s="143">
        <f t="shared" si="37"/>
        <v>0</v>
      </c>
      <c r="C2024" s="143"/>
      <c r="D2024" s="144"/>
      <c r="E2024" s="143"/>
      <c r="F2024" s="143"/>
      <c r="G2024" s="147"/>
      <c r="H2024" s="146"/>
    </row>
    <row r="2025" spans="2:8" ht="14.25" x14ac:dyDescent="0.2">
      <c r="B2025" s="143">
        <f t="shared" si="37"/>
        <v>0</v>
      </c>
      <c r="C2025" s="143"/>
      <c r="D2025" s="144"/>
      <c r="E2025" s="143"/>
      <c r="F2025" s="143"/>
      <c r="G2025" s="147"/>
      <c r="H2025" s="146"/>
    </row>
    <row r="2026" spans="2:8" ht="14.25" x14ac:dyDescent="0.2">
      <c r="B2026" s="143">
        <f t="shared" si="37"/>
        <v>0</v>
      </c>
      <c r="C2026" s="143"/>
      <c r="D2026" s="144"/>
      <c r="E2026" s="143"/>
      <c r="F2026" s="143"/>
      <c r="G2026" s="147"/>
      <c r="H2026" s="146"/>
    </row>
    <row r="2027" spans="2:8" ht="14.25" x14ac:dyDescent="0.2">
      <c r="B2027" s="143">
        <f t="shared" si="37"/>
        <v>0</v>
      </c>
      <c r="C2027" s="143"/>
      <c r="D2027" s="144"/>
      <c r="E2027" s="143"/>
      <c r="F2027" s="143"/>
      <c r="G2027" s="147"/>
      <c r="H2027" s="146"/>
    </row>
    <row r="2028" spans="2:8" ht="14.25" x14ac:dyDescent="0.2">
      <c r="B2028" s="143">
        <f t="shared" si="37"/>
        <v>0</v>
      </c>
      <c r="C2028" s="143"/>
      <c r="D2028" s="144"/>
      <c r="E2028" s="143"/>
      <c r="F2028" s="143"/>
      <c r="G2028" s="147"/>
      <c r="H2028" s="146"/>
    </row>
    <row r="2029" spans="2:8" ht="14.25" x14ac:dyDescent="0.2">
      <c r="B2029" s="143">
        <f t="shared" si="37"/>
        <v>0</v>
      </c>
      <c r="C2029" s="143"/>
      <c r="D2029" s="144"/>
      <c r="E2029" s="143"/>
      <c r="F2029" s="143"/>
      <c r="G2029" s="147"/>
      <c r="H2029" s="146"/>
    </row>
    <row r="2030" spans="2:8" ht="14.25" x14ac:dyDescent="0.2">
      <c r="B2030" s="143">
        <f t="shared" si="37"/>
        <v>0</v>
      </c>
      <c r="C2030" s="143"/>
      <c r="D2030" s="144"/>
      <c r="E2030" s="143"/>
      <c r="F2030" s="143"/>
      <c r="G2030" s="147"/>
      <c r="H2030" s="146"/>
    </row>
    <row r="2031" spans="2:8" ht="14.25" x14ac:dyDescent="0.2">
      <c r="B2031" s="143">
        <f t="shared" si="37"/>
        <v>0</v>
      </c>
      <c r="C2031" s="143"/>
      <c r="D2031" s="144"/>
      <c r="E2031" s="143"/>
      <c r="F2031" s="143"/>
      <c r="G2031" s="147"/>
      <c r="H2031" s="146"/>
    </row>
    <row r="2032" spans="2:8" ht="14.25" x14ac:dyDescent="0.2">
      <c r="B2032" s="143">
        <f t="shared" si="37"/>
        <v>0</v>
      </c>
      <c r="C2032" s="143"/>
      <c r="D2032" s="144"/>
      <c r="E2032" s="143"/>
      <c r="F2032" s="143"/>
      <c r="G2032" s="147"/>
      <c r="H2032" s="146"/>
    </row>
    <row r="2033" spans="2:8" ht="14.25" x14ac:dyDescent="0.2">
      <c r="B2033" s="143">
        <f t="shared" si="37"/>
        <v>0</v>
      </c>
      <c r="C2033" s="143"/>
      <c r="D2033" s="144"/>
      <c r="E2033" s="143"/>
      <c r="F2033" s="143"/>
      <c r="G2033" s="147"/>
      <c r="H2033" s="146"/>
    </row>
    <row r="2034" spans="2:8" ht="14.25" x14ac:dyDescent="0.2">
      <c r="B2034" s="143">
        <f t="shared" si="37"/>
        <v>0</v>
      </c>
      <c r="C2034" s="143"/>
      <c r="D2034" s="144"/>
      <c r="E2034" s="143"/>
      <c r="F2034" s="143"/>
      <c r="G2034" s="147"/>
      <c r="H2034" s="146"/>
    </row>
    <row r="2035" spans="2:8" ht="14.25" x14ac:dyDescent="0.2">
      <c r="B2035" s="143">
        <f t="shared" si="37"/>
        <v>0</v>
      </c>
      <c r="C2035" s="143"/>
      <c r="D2035" s="144"/>
      <c r="E2035" s="143"/>
      <c r="F2035" s="143"/>
      <c r="G2035" s="147"/>
      <c r="H2035" s="146"/>
    </row>
    <row r="2036" spans="2:8" ht="14.25" x14ac:dyDescent="0.2">
      <c r="B2036" s="143">
        <f t="shared" si="37"/>
        <v>0</v>
      </c>
      <c r="C2036" s="143"/>
      <c r="D2036" s="144"/>
      <c r="E2036" s="143"/>
      <c r="F2036" s="143"/>
      <c r="G2036" s="147"/>
      <c r="H2036" s="146"/>
    </row>
    <row r="2037" spans="2:8" ht="14.25" x14ac:dyDescent="0.2">
      <c r="B2037" s="143">
        <f t="shared" si="37"/>
        <v>0</v>
      </c>
      <c r="C2037" s="143"/>
      <c r="D2037" s="144"/>
      <c r="E2037" s="143"/>
      <c r="F2037" s="143"/>
      <c r="G2037" s="147"/>
      <c r="H2037" s="146"/>
    </row>
    <row r="2038" spans="2:8" ht="14.25" x14ac:dyDescent="0.2">
      <c r="B2038" s="143">
        <f t="shared" si="37"/>
        <v>0</v>
      </c>
      <c r="C2038" s="143"/>
      <c r="D2038" s="144"/>
      <c r="E2038" s="143"/>
      <c r="F2038" s="143"/>
      <c r="G2038" s="147"/>
      <c r="H2038" s="146"/>
    </row>
    <row r="2039" spans="2:8" ht="14.25" x14ac:dyDescent="0.2">
      <c r="B2039" s="143">
        <f t="shared" si="37"/>
        <v>0</v>
      </c>
      <c r="C2039" s="143"/>
      <c r="D2039" s="144"/>
      <c r="E2039" s="143"/>
      <c r="F2039" s="143"/>
      <c r="G2039" s="147"/>
      <c r="H2039" s="146"/>
    </row>
    <row r="2040" spans="2:8" ht="14.25" x14ac:dyDescent="0.2">
      <c r="B2040" s="143">
        <f t="shared" ref="B2040:B2103" si="38">WEEKNUM(D2040)</f>
        <v>0</v>
      </c>
      <c r="C2040" s="143"/>
      <c r="D2040" s="144"/>
      <c r="E2040" s="143"/>
      <c r="F2040" s="143"/>
      <c r="G2040" s="147"/>
      <c r="H2040" s="146"/>
    </row>
    <row r="2041" spans="2:8" ht="14.25" x14ac:dyDescent="0.2">
      <c r="B2041" s="143">
        <f t="shared" si="38"/>
        <v>0</v>
      </c>
      <c r="C2041" s="143"/>
      <c r="D2041" s="144"/>
      <c r="E2041" s="143"/>
      <c r="F2041" s="143"/>
      <c r="G2041" s="147"/>
      <c r="H2041" s="146"/>
    </row>
    <row r="2042" spans="2:8" ht="14.25" x14ac:dyDescent="0.2">
      <c r="B2042" s="143">
        <f t="shared" si="38"/>
        <v>0</v>
      </c>
      <c r="C2042" s="143"/>
      <c r="D2042" s="144"/>
      <c r="E2042" s="143"/>
      <c r="F2042" s="143"/>
      <c r="G2042" s="147"/>
      <c r="H2042" s="146"/>
    </row>
    <row r="2043" spans="2:8" ht="14.25" x14ac:dyDescent="0.2">
      <c r="B2043" s="143">
        <f t="shared" si="38"/>
        <v>0</v>
      </c>
      <c r="C2043" s="143"/>
      <c r="D2043" s="144"/>
      <c r="E2043" s="143"/>
      <c r="F2043" s="143"/>
      <c r="G2043" s="147"/>
      <c r="H2043" s="146"/>
    </row>
    <row r="2044" spans="2:8" ht="14.25" x14ac:dyDescent="0.2">
      <c r="B2044" s="143">
        <f t="shared" si="38"/>
        <v>0</v>
      </c>
      <c r="C2044" s="143"/>
      <c r="D2044" s="144"/>
      <c r="E2044" s="143"/>
      <c r="F2044" s="143"/>
      <c r="G2044" s="147"/>
      <c r="H2044" s="146"/>
    </row>
    <row r="2045" spans="2:8" ht="14.25" x14ac:dyDescent="0.2">
      <c r="B2045" s="143">
        <f t="shared" si="38"/>
        <v>0</v>
      </c>
      <c r="C2045" s="143"/>
      <c r="D2045" s="144"/>
      <c r="E2045" s="143"/>
      <c r="F2045" s="143"/>
      <c r="G2045" s="147"/>
      <c r="H2045" s="146"/>
    </row>
    <row r="2046" spans="2:8" ht="14.25" x14ac:dyDescent="0.2">
      <c r="B2046" s="143">
        <f t="shared" si="38"/>
        <v>0</v>
      </c>
      <c r="C2046" s="143"/>
      <c r="D2046" s="144"/>
      <c r="E2046" s="143"/>
      <c r="F2046" s="143"/>
      <c r="G2046" s="147"/>
      <c r="H2046" s="146"/>
    </row>
    <row r="2047" spans="2:8" ht="14.25" x14ac:dyDescent="0.2">
      <c r="B2047" s="143">
        <f t="shared" si="38"/>
        <v>0</v>
      </c>
      <c r="C2047" s="143"/>
      <c r="D2047" s="144"/>
      <c r="E2047" s="143"/>
      <c r="F2047" s="143"/>
      <c r="G2047" s="147"/>
      <c r="H2047" s="146"/>
    </row>
    <row r="2048" spans="2:8" ht="14.25" x14ac:dyDescent="0.2">
      <c r="B2048" s="143">
        <f t="shared" si="38"/>
        <v>0</v>
      </c>
      <c r="C2048" s="143"/>
      <c r="D2048" s="144"/>
      <c r="E2048" s="143"/>
      <c r="F2048" s="143"/>
      <c r="G2048" s="147"/>
      <c r="H2048" s="146"/>
    </row>
    <row r="2049" spans="2:8" ht="14.25" x14ac:dyDescent="0.2">
      <c r="B2049" s="143">
        <f t="shared" si="38"/>
        <v>0</v>
      </c>
      <c r="C2049" s="143"/>
      <c r="D2049" s="144"/>
      <c r="E2049" s="143"/>
      <c r="F2049" s="143"/>
      <c r="G2049" s="147"/>
      <c r="H2049" s="146"/>
    </row>
    <row r="2050" spans="2:8" ht="14.25" x14ac:dyDescent="0.2">
      <c r="B2050" s="143">
        <f t="shared" si="38"/>
        <v>0</v>
      </c>
      <c r="C2050" s="143"/>
      <c r="D2050" s="144"/>
      <c r="E2050" s="143"/>
      <c r="F2050" s="143"/>
      <c r="G2050" s="147"/>
      <c r="H2050" s="146"/>
    </row>
    <row r="2051" spans="2:8" ht="14.25" x14ac:dyDescent="0.2">
      <c r="B2051" s="143">
        <f t="shared" si="38"/>
        <v>0</v>
      </c>
      <c r="C2051" s="143"/>
      <c r="D2051" s="144"/>
      <c r="E2051" s="143"/>
      <c r="F2051" s="143"/>
      <c r="G2051" s="147"/>
      <c r="H2051" s="146"/>
    </row>
    <row r="2052" spans="2:8" ht="14.25" x14ac:dyDescent="0.2">
      <c r="B2052" s="143">
        <f t="shared" si="38"/>
        <v>0</v>
      </c>
      <c r="C2052" s="143"/>
      <c r="D2052" s="144"/>
      <c r="E2052" s="143"/>
      <c r="F2052" s="143"/>
      <c r="G2052" s="147"/>
      <c r="H2052" s="146"/>
    </row>
    <row r="2053" spans="2:8" ht="14.25" x14ac:dyDescent="0.2">
      <c r="B2053" s="143">
        <f t="shared" si="38"/>
        <v>0</v>
      </c>
      <c r="C2053" s="143"/>
      <c r="D2053" s="144"/>
      <c r="E2053" s="143"/>
      <c r="F2053" s="143"/>
      <c r="G2053" s="147"/>
      <c r="H2053" s="146"/>
    </row>
    <row r="2054" spans="2:8" ht="14.25" x14ac:dyDescent="0.2">
      <c r="B2054" s="143">
        <f t="shared" si="38"/>
        <v>0</v>
      </c>
      <c r="C2054" s="143"/>
      <c r="D2054" s="144"/>
      <c r="E2054" s="143"/>
      <c r="F2054" s="143"/>
      <c r="G2054" s="147"/>
      <c r="H2054" s="146"/>
    </row>
    <row r="2055" spans="2:8" ht="14.25" x14ac:dyDescent="0.2">
      <c r="B2055" s="143">
        <f t="shared" si="38"/>
        <v>0</v>
      </c>
      <c r="C2055" s="143"/>
      <c r="D2055" s="144"/>
      <c r="E2055" s="143"/>
      <c r="F2055" s="143"/>
      <c r="G2055" s="147"/>
      <c r="H2055" s="146"/>
    </row>
    <row r="2056" spans="2:8" ht="14.25" x14ac:dyDescent="0.2">
      <c r="B2056" s="143">
        <f t="shared" si="38"/>
        <v>0</v>
      </c>
      <c r="C2056" s="143"/>
      <c r="D2056" s="144"/>
      <c r="E2056" s="143"/>
      <c r="F2056" s="143"/>
      <c r="G2056" s="147"/>
      <c r="H2056" s="146"/>
    </row>
    <row r="2057" spans="2:8" ht="14.25" x14ac:dyDescent="0.2">
      <c r="B2057" s="143">
        <f t="shared" si="38"/>
        <v>0</v>
      </c>
      <c r="C2057" s="143"/>
      <c r="D2057" s="144"/>
      <c r="E2057" s="143"/>
      <c r="F2057" s="143"/>
      <c r="G2057" s="147"/>
      <c r="H2057" s="146"/>
    </row>
    <row r="2058" spans="2:8" ht="14.25" x14ac:dyDescent="0.2">
      <c r="B2058" s="143">
        <f t="shared" si="38"/>
        <v>0</v>
      </c>
      <c r="C2058" s="143"/>
      <c r="D2058" s="144"/>
      <c r="E2058" s="143"/>
      <c r="F2058" s="143"/>
      <c r="G2058" s="147"/>
      <c r="H2058" s="146"/>
    </row>
    <row r="2059" spans="2:8" ht="14.25" x14ac:dyDescent="0.2">
      <c r="B2059" s="143">
        <f t="shared" si="38"/>
        <v>0</v>
      </c>
      <c r="C2059" s="143"/>
      <c r="D2059" s="144"/>
      <c r="E2059" s="143"/>
      <c r="F2059" s="143"/>
      <c r="G2059" s="147"/>
      <c r="H2059" s="146"/>
    </row>
    <row r="2060" spans="2:8" ht="14.25" x14ac:dyDescent="0.2">
      <c r="B2060" s="143">
        <f t="shared" si="38"/>
        <v>0</v>
      </c>
      <c r="C2060" s="143"/>
      <c r="D2060" s="144"/>
      <c r="E2060" s="143"/>
      <c r="F2060" s="143"/>
      <c r="G2060" s="147"/>
      <c r="H2060" s="146"/>
    </row>
    <row r="2061" spans="2:8" ht="14.25" x14ac:dyDescent="0.2">
      <c r="B2061" s="143">
        <f t="shared" si="38"/>
        <v>0</v>
      </c>
      <c r="C2061" s="143"/>
      <c r="D2061" s="144"/>
      <c r="E2061" s="143"/>
      <c r="F2061" s="143"/>
      <c r="G2061" s="147"/>
      <c r="H2061" s="146"/>
    </row>
    <row r="2062" spans="2:8" ht="14.25" x14ac:dyDescent="0.2">
      <c r="B2062" s="143">
        <f t="shared" si="38"/>
        <v>0</v>
      </c>
      <c r="C2062" s="143"/>
      <c r="D2062" s="144"/>
      <c r="E2062" s="143"/>
      <c r="F2062" s="143"/>
      <c r="G2062" s="147"/>
      <c r="H2062" s="146"/>
    </row>
    <row r="2063" spans="2:8" ht="14.25" x14ac:dyDescent="0.2">
      <c r="B2063" s="143">
        <f t="shared" si="38"/>
        <v>0</v>
      </c>
      <c r="C2063" s="143"/>
      <c r="D2063" s="144"/>
      <c r="E2063" s="143"/>
      <c r="F2063" s="143"/>
      <c r="G2063" s="147"/>
      <c r="H2063" s="146"/>
    </row>
    <row r="2064" spans="2:8" ht="14.25" x14ac:dyDescent="0.2">
      <c r="B2064" s="143">
        <f t="shared" si="38"/>
        <v>0</v>
      </c>
      <c r="C2064" s="143"/>
      <c r="D2064" s="144"/>
      <c r="E2064" s="143"/>
      <c r="F2064" s="143"/>
      <c r="G2064" s="147"/>
      <c r="H2064" s="146"/>
    </row>
    <row r="2065" spans="2:8" ht="14.25" x14ac:dyDescent="0.2">
      <c r="B2065" s="143">
        <f t="shared" si="38"/>
        <v>0</v>
      </c>
      <c r="C2065" s="143"/>
      <c r="D2065" s="144"/>
      <c r="E2065" s="143"/>
      <c r="F2065" s="143"/>
      <c r="G2065" s="147"/>
      <c r="H2065" s="146"/>
    </row>
    <row r="2066" spans="2:8" ht="14.25" x14ac:dyDescent="0.2">
      <c r="B2066" s="143">
        <f t="shared" si="38"/>
        <v>0</v>
      </c>
      <c r="C2066" s="143"/>
      <c r="D2066" s="144"/>
      <c r="E2066" s="143"/>
      <c r="F2066" s="143"/>
      <c r="G2066" s="147"/>
      <c r="H2066" s="146"/>
    </row>
    <row r="2067" spans="2:8" ht="14.25" x14ac:dyDescent="0.2">
      <c r="B2067" s="143">
        <f t="shared" si="38"/>
        <v>0</v>
      </c>
      <c r="C2067" s="143"/>
      <c r="D2067" s="144"/>
      <c r="E2067" s="143"/>
      <c r="F2067" s="143"/>
      <c r="G2067" s="147"/>
      <c r="H2067" s="146"/>
    </row>
    <row r="2068" spans="2:8" ht="14.25" x14ac:dyDescent="0.2">
      <c r="B2068" s="143">
        <f t="shared" si="38"/>
        <v>0</v>
      </c>
      <c r="C2068" s="143"/>
      <c r="D2068" s="144"/>
      <c r="E2068" s="143"/>
      <c r="F2068" s="143"/>
      <c r="G2068" s="147"/>
      <c r="H2068" s="146"/>
    </row>
    <row r="2069" spans="2:8" ht="14.25" x14ac:dyDescent="0.2">
      <c r="B2069" s="143">
        <f t="shared" si="38"/>
        <v>0</v>
      </c>
      <c r="C2069" s="143"/>
      <c r="D2069" s="144"/>
      <c r="E2069" s="143"/>
      <c r="F2069" s="143"/>
      <c r="G2069" s="147"/>
      <c r="H2069" s="146"/>
    </row>
    <row r="2070" spans="2:8" ht="14.25" x14ac:dyDescent="0.2">
      <c r="B2070" s="143">
        <f t="shared" si="38"/>
        <v>0</v>
      </c>
      <c r="C2070" s="143"/>
      <c r="D2070" s="144"/>
      <c r="E2070" s="143"/>
      <c r="F2070" s="143"/>
      <c r="G2070" s="147"/>
      <c r="H2070" s="146"/>
    </row>
    <row r="2071" spans="2:8" ht="14.25" x14ac:dyDescent="0.2">
      <c r="B2071" s="143">
        <f t="shared" si="38"/>
        <v>0</v>
      </c>
      <c r="C2071" s="143"/>
      <c r="D2071" s="144"/>
      <c r="E2071" s="143"/>
      <c r="F2071" s="143"/>
      <c r="G2071" s="147"/>
      <c r="H2071" s="146"/>
    </row>
    <row r="2072" spans="2:8" ht="14.25" x14ac:dyDescent="0.2">
      <c r="B2072" s="143">
        <f t="shared" si="38"/>
        <v>0</v>
      </c>
      <c r="C2072" s="143"/>
      <c r="D2072" s="144"/>
      <c r="E2072" s="143"/>
      <c r="F2072" s="143"/>
      <c r="G2072" s="147"/>
      <c r="H2072" s="146"/>
    </row>
    <row r="2073" spans="2:8" ht="14.25" x14ac:dyDescent="0.2">
      <c r="B2073" s="143">
        <f t="shared" si="38"/>
        <v>0</v>
      </c>
      <c r="C2073" s="143"/>
      <c r="D2073" s="144"/>
      <c r="E2073" s="143"/>
      <c r="F2073" s="143"/>
      <c r="G2073" s="147"/>
      <c r="H2073" s="146"/>
    </row>
    <row r="2074" spans="2:8" ht="14.25" x14ac:dyDescent="0.2">
      <c r="B2074" s="143">
        <f t="shared" si="38"/>
        <v>0</v>
      </c>
      <c r="C2074" s="143"/>
      <c r="D2074" s="144"/>
      <c r="E2074" s="143"/>
      <c r="F2074" s="143"/>
      <c r="G2074" s="147"/>
      <c r="H2074" s="146"/>
    </row>
    <row r="2075" spans="2:8" ht="14.25" x14ac:dyDescent="0.2">
      <c r="B2075" s="143">
        <f t="shared" si="38"/>
        <v>0</v>
      </c>
      <c r="C2075" s="143"/>
      <c r="D2075" s="144"/>
      <c r="E2075" s="143"/>
      <c r="F2075" s="143"/>
      <c r="G2075" s="147"/>
      <c r="H2075" s="146"/>
    </row>
    <row r="2076" spans="2:8" ht="14.25" x14ac:dyDescent="0.2">
      <c r="B2076" s="143">
        <f t="shared" si="38"/>
        <v>0</v>
      </c>
      <c r="C2076" s="143"/>
      <c r="D2076" s="144"/>
      <c r="E2076" s="143"/>
      <c r="F2076" s="143"/>
      <c r="G2076" s="147"/>
      <c r="H2076" s="146"/>
    </row>
    <row r="2077" spans="2:8" ht="14.25" x14ac:dyDescent="0.2">
      <c r="B2077" s="143">
        <f t="shared" si="38"/>
        <v>0</v>
      </c>
      <c r="C2077" s="143"/>
      <c r="D2077" s="144"/>
      <c r="E2077" s="143"/>
      <c r="F2077" s="143"/>
      <c r="G2077" s="147"/>
      <c r="H2077" s="146"/>
    </row>
    <row r="2078" spans="2:8" ht="14.25" x14ac:dyDescent="0.2">
      <c r="B2078" s="143">
        <f t="shared" si="38"/>
        <v>0</v>
      </c>
      <c r="C2078" s="143"/>
      <c r="D2078" s="144"/>
      <c r="E2078" s="143"/>
      <c r="F2078" s="143"/>
      <c r="G2078" s="147"/>
      <c r="H2078" s="146"/>
    </row>
    <row r="2079" spans="2:8" ht="14.25" x14ac:dyDescent="0.2">
      <c r="B2079" s="143">
        <f t="shared" si="38"/>
        <v>0</v>
      </c>
      <c r="C2079" s="143"/>
      <c r="D2079" s="144"/>
      <c r="E2079" s="143"/>
      <c r="F2079" s="143"/>
      <c r="G2079" s="147"/>
      <c r="H2079" s="146"/>
    </row>
    <row r="2080" spans="2:8" ht="14.25" x14ac:dyDescent="0.2">
      <c r="B2080" s="143">
        <f t="shared" si="38"/>
        <v>0</v>
      </c>
      <c r="C2080" s="143"/>
      <c r="D2080" s="144"/>
      <c r="E2080" s="143"/>
      <c r="F2080" s="143"/>
      <c r="G2080" s="147"/>
      <c r="H2080" s="146"/>
    </row>
    <row r="2081" spans="2:8" ht="14.25" x14ac:dyDescent="0.2">
      <c r="B2081" s="143">
        <f t="shared" si="38"/>
        <v>0</v>
      </c>
      <c r="C2081" s="143"/>
      <c r="D2081" s="144"/>
      <c r="E2081" s="143"/>
      <c r="F2081" s="143"/>
      <c r="G2081" s="147"/>
      <c r="H2081" s="146"/>
    </row>
    <row r="2082" spans="2:8" ht="14.25" x14ac:dyDescent="0.2">
      <c r="B2082" s="143">
        <f t="shared" si="38"/>
        <v>0</v>
      </c>
      <c r="C2082" s="143"/>
      <c r="D2082" s="144"/>
      <c r="E2082" s="143"/>
      <c r="F2082" s="143"/>
      <c r="G2082" s="147"/>
      <c r="H2082" s="146"/>
    </row>
    <row r="2083" spans="2:8" ht="14.25" x14ac:dyDescent="0.2">
      <c r="B2083" s="143">
        <f t="shared" si="38"/>
        <v>0</v>
      </c>
      <c r="C2083" s="143"/>
      <c r="D2083" s="144"/>
      <c r="E2083" s="143"/>
      <c r="F2083" s="143"/>
      <c r="G2083" s="147"/>
      <c r="H2083" s="146"/>
    </row>
    <row r="2084" spans="2:8" ht="14.25" x14ac:dyDescent="0.2">
      <c r="B2084" s="143">
        <f t="shared" si="38"/>
        <v>0</v>
      </c>
      <c r="C2084" s="143"/>
      <c r="D2084" s="144"/>
      <c r="E2084" s="143"/>
      <c r="F2084" s="143"/>
      <c r="G2084" s="147"/>
      <c r="H2084" s="146"/>
    </row>
    <row r="2085" spans="2:8" ht="14.25" x14ac:dyDescent="0.2">
      <c r="B2085" s="143">
        <f t="shared" si="38"/>
        <v>0</v>
      </c>
      <c r="C2085" s="143"/>
      <c r="D2085" s="144"/>
      <c r="E2085" s="143"/>
      <c r="F2085" s="143"/>
      <c r="G2085" s="147"/>
      <c r="H2085" s="146"/>
    </row>
    <row r="2086" spans="2:8" ht="14.25" x14ac:dyDescent="0.2">
      <c r="B2086" s="143">
        <f t="shared" si="38"/>
        <v>0</v>
      </c>
      <c r="C2086" s="143"/>
      <c r="D2086" s="144"/>
      <c r="E2086" s="143"/>
      <c r="F2086" s="143"/>
      <c r="G2086" s="147"/>
      <c r="H2086" s="146"/>
    </row>
    <row r="2087" spans="2:8" ht="14.25" x14ac:dyDescent="0.2">
      <c r="B2087" s="143">
        <f t="shared" si="38"/>
        <v>0</v>
      </c>
      <c r="C2087" s="143"/>
      <c r="D2087" s="144"/>
      <c r="E2087" s="143"/>
      <c r="F2087" s="143"/>
      <c r="G2087" s="147"/>
      <c r="H2087" s="146"/>
    </row>
    <row r="2088" spans="2:8" ht="14.25" x14ac:dyDescent="0.2">
      <c r="B2088" s="143">
        <f t="shared" si="38"/>
        <v>0</v>
      </c>
      <c r="C2088" s="143"/>
      <c r="D2088" s="144"/>
      <c r="E2088" s="143"/>
      <c r="F2088" s="143"/>
      <c r="G2088" s="147"/>
      <c r="H2088" s="146"/>
    </row>
    <row r="2089" spans="2:8" ht="14.25" x14ac:dyDescent="0.2">
      <c r="B2089" s="143">
        <f t="shared" si="38"/>
        <v>0</v>
      </c>
      <c r="C2089" s="143"/>
      <c r="D2089" s="144"/>
      <c r="E2089" s="143"/>
      <c r="F2089" s="143"/>
      <c r="G2089" s="147"/>
      <c r="H2089" s="146"/>
    </row>
    <row r="2090" spans="2:8" ht="14.25" x14ac:dyDescent="0.2">
      <c r="B2090" s="143">
        <f t="shared" si="38"/>
        <v>0</v>
      </c>
      <c r="C2090" s="143"/>
      <c r="D2090" s="144"/>
      <c r="E2090" s="143"/>
      <c r="F2090" s="143"/>
      <c r="G2090" s="147"/>
      <c r="H2090" s="146"/>
    </row>
    <row r="2091" spans="2:8" ht="14.25" x14ac:dyDescent="0.2">
      <c r="B2091" s="143">
        <f t="shared" si="38"/>
        <v>0</v>
      </c>
      <c r="C2091" s="143"/>
      <c r="D2091" s="144"/>
      <c r="E2091" s="143"/>
      <c r="F2091" s="143"/>
      <c r="G2091" s="147"/>
      <c r="H2091" s="146"/>
    </row>
    <row r="2092" spans="2:8" ht="14.25" x14ac:dyDescent="0.2">
      <c r="B2092" s="143">
        <f t="shared" si="38"/>
        <v>0</v>
      </c>
      <c r="C2092" s="143"/>
      <c r="D2092" s="144"/>
      <c r="E2092" s="143"/>
      <c r="F2092" s="143"/>
      <c r="G2092" s="147"/>
      <c r="H2092" s="146"/>
    </row>
    <row r="2093" spans="2:8" ht="14.25" x14ac:dyDescent="0.2">
      <c r="B2093" s="143">
        <f t="shared" si="38"/>
        <v>0</v>
      </c>
      <c r="C2093" s="143"/>
      <c r="D2093" s="144"/>
      <c r="E2093" s="143"/>
      <c r="F2093" s="143"/>
      <c r="G2093" s="147"/>
      <c r="H2093" s="146"/>
    </row>
    <row r="2094" spans="2:8" ht="14.25" x14ac:dyDescent="0.2">
      <c r="B2094" s="143">
        <f t="shared" si="38"/>
        <v>0</v>
      </c>
      <c r="C2094" s="143"/>
      <c r="D2094" s="144"/>
      <c r="E2094" s="143"/>
      <c r="F2094" s="143"/>
      <c r="G2094" s="147"/>
      <c r="H2094" s="146"/>
    </row>
    <row r="2095" spans="2:8" ht="14.25" x14ac:dyDescent="0.2">
      <c r="B2095" s="143">
        <f t="shared" si="38"/>
        <v>0</v>
      </c>
      <c r="C2095" s="143"/>
      <c r="D2095" s="144"/>
      <c r="E2095" s="143"/>
      <c r="F2095" s="143"/>
      <c r="G2095" s="147"/>
      <c r="H2095" s="146"/>
    </row>
    <row r="2096" spans="2:8" ht="14.25" x14ac:dyDescent="0.2">
      <c r="B2096" s="143">
        <f t="shared" si="38"/>
        <v>0</v>
      </c>
      <c r="C2096" s="143"/>
      <c r="D2096" s="144"/>
      <c r="E2096" s="143"/>
      <c r="F2096" s="143"/>
      <c r="G2096" s="147"/>
      <c r="H2096" s="146"/>
    </row>
    <row r="2097" spans="2:8" ht="14.25" x14ac:dyDescent="0.2">
      <c r="B2097" s="143">
        <f t="shared" si="38"/>
        <v>0</v>
      </c>
      <c r="C2097" s="143"/>
      <c r="D2097" s="144"/>
      <c r="E2097" s="143"/>
      <c r="F2097" s="143"/>
      <c r="G2097" s="147"/>
      <c r="H2097" s="146"/>
    </row>
    <row r="2098" spans="2:8" ht="14.25" x14ac:dyDescent="0.2">
      <c r="B2098" s="143">
        <f t="shared" si="38"/>
        <v>0</v>
      </c>
      <c r="C2098" s="143"/>
      <c r="D2098" s="144"/>
      <c r="E2098" s="143"/>
      <c r="F2098" s="143"/>
      <c r="G2098" s="147"/>
      <c r="H2098" s="146"/>
    </row>
    <row r="2099" spans="2:8" ht="14.25" x14ac:dyDescent="0.2">
      <c r="B2099" s="143">
        <f t="shared" si="38"/>
        <v>0</v>
      </c>
      <c r="C2099" s="143"/>
      <c r="D2099" s="144"/>
      <c r="E2099" s="143"/>
      <c r="F2099" s="143"/>
      <c r="G2099" s="147"/>
      <c r="H2099" s="146"/>
    </row>
    <row r="2100" spans="2:8" ht="14.25" x14ac:dyDescent="0.2">
      <c r="B2100" s="143">
        <f t="shared" si="38"/>
        <v>0</v>
      </c>
      <c r="C2100" s="143"/>
      <c r="D2100" s="144"/>
      <c r="E2100" s="143"/>
      <c r="F2100" s="143"/>
      <c r="G2100" s="147"/>
      <c r="H2100" s="146"/>
    </row>
    <row r="2101" spans="2:8" ht="14.25" x14ac:dyDescent="0.2">
      <c r="B2101" s="143">
        <f t="shared" si="38"/>
        <v>0</v>
      </c>
      <c r="C2101" s="143"/>
      <c r="D2101" s="144"/>
      <c r="E2101" s="143"/>
      <c r="F2101" s="143"/>
      <c r="G2101" s="147"/>
      <c r="H2101" s="146"/>
    </row>
    <row r="2102" spans="2:8" ht="14.25" x14ac:dyDescent="0.2">
      <c r="B2102" s="143">
        <f t="shared" si="38"/>
        <v>0</v>
      </c>
      <c r="C2102" s="143"/>
      <c r="D2102" s="144"/>
      <c r="E2102" s="143"/>
      <c r="F2102" s="143"/>
      <c r="G2102" s="147"/>
      <c r="H2102" s="146"/>
    </row>
    <row r="2103" spans="2:8" ht="14.25" x14ac:dyDescent="0.2">
      <c r="B2103" s="143">
        <f t="shared" si="38"/>
        <v>0</v>
      </c>
      <c r="C2103" s="143"/>
      <c r="D2103" s="144"/>
      <c r="E2103" s="143"/>
      <c r="F2103" s="143"/>
      <c r="G2103" s="147"/>
      <c r="H2103" s="146"/>
    </row>
    <row r="2104" spans="2:8" ht="14.25" x14ac:dyDescent="0.2">
      <c r="B2104" s="143">
        <f t="shared" ref="B2104:B2147" si="39">WEEKNUM(D2104)</f>
        <v>0</v>
      </c>
      <c r="C2104" s="143"/>
      <c r="D2104" s="144"/>
      <c r="E2104" s="143"/>
      <c r="F2104" s="143"/>
      <c r="G2104" s="147"/>
      <c r="H2104" s="146"/>
    </row>
    <row r="2105" spans="2:8" ht="14.25" x14ac:dyDescent="0.2">
      <c r="B2105" s="143">
        <f t="shared" si="39"/>
        <v>0</v>
      </c>
      <c r="C2105" s="143"/>
      <c r="D2105" s="144"/>
      <c r="E2105" s="143"/>
      <c r="F2105" s="143"/>
      <c r="G2105" s="147"/>
      <c r="H2105" s="146"/>
    </row>
    <row r="2106" spans="2:8" ht="14.25" x14ac:dyDescent="0.2">
      <c r="B2106" s="143">
        <f t="shared" si="39"/>
        <v>0</v>
      </c>
      <c r="C2106" s="143"/>
      <c r="D2106" s="144"/>
      <c r="E2106" s="143"/>
      <c r="F2106" s="143"/>
      <c r="G2106" s="147"/>
      <c r="H2106" s="146"/>
    </row>
    <row r="2107" spans="2:8" ht="14.25" x14ac:dyDescent="0.2">
      <c r="B2107" s="143">
        <f t="shared" si="39"/>
        <v>0</v>
      </c>
      <c r="C2107" s="143"/>
      <c r="D2107" s="144"/>
      <c r="E2107" s="143"/>
      <c r="F2107" s="143"/>
      <c r="G2107" s="147"/>
      <c r="H2107" s="146"/>
    </row>
    <row r="2108" spans="2:8" ht="14.25" x14ac:dyDescent="0.2">
      <c r="B2108" s="143">
        <f t="shared" si="39"/>
        <v>0</v>
      </c>
      <c r="C2108" s="143"/>
      <c r="D2108" s="144"/>
      <c r="E2108" s="143"/>
      <c r="F2108" s="143"/>
      <c r="G2108" s="147"/>
      <c r="H2108" s="146"/>
    </row>
    <row r="2109" spans="2:8" ht="14.25" x14ac:dyDescent="0.2">
      <c r="B2109" s="143">
        <f t="shared" si="39"/>
        <v>0</v>
      </c>
      <c r="C2109" s="143"/>
      <c r="D2109" s="144"/>
      <c r="E2109" s="143"/>
      <c r="F2109" s="143"/>
      <c r="G2109" s="147"/>
      <c r="H2109" s="146"/>
    </row>
    <row r="2110" spans="2:8" ht="14.25" x14ac:dyDescent="0.2">
      <c r="B2110" s="143">
        <f t="shared" si="39"/>
        <v>0</v>
      </c>
      <c r="C2110" s="143"/>
      <c r="D2110" s="144"/>
      <c r="E2110" s="143"/>
      <c r="F2110" s="143"/>
      <c r="G2110" s="147"/>
      <c r="H2110" s="146"/>
    </row>
    <row r="2111" spans="2:8" ht="14.25" x14ac:dyDescent="0.2">
      <c r="B2111" s="143">
        <f t="shared" si="39"/>
        <v>0</v>
      </c>
      <c r="C2111" s="143"/>
      <c r="D2111" s="144"/>
      <c r="E2111" s="143"/>
      <c r="F2111" s="143"/>
      <c r="G2111" s="147"/>
      <c r="H2111" s="146"/>
    </row>
    <row r="2112" spans="2:8" ht="14.25" x14ac:dyDescent="0.2">
      <c r="B2112" s="143">
        <f t="shared" si="39"/>
        <v>0</v>
      </c>
      <c r="C2112" s="143"/>
      <c r="D2112" s="144"/>
      <c r="E2112" s="143"/>
      <c r="F2112" s="143"/>
      <c r="G2112" s="147"/>
      <c r="H2112" s="146"/>
    </row>
    <row r="2113" spans="2:8" ht="14.25" x14ac:dyDescent="0.2">
      <c r="B2113" s="143">
        <f t="shared" si="39"/>
        <v>0</v>
      </c>
      <c r="C2113" s="143"/>
      <c r="D2113" s="144"/>
      <c r="E2113" s="143"/>
      <c r="F2113" s="143"/>
      <c r="G2113" s="147"/>
      <c r="H2113" s="146"/>
    </row>
    <row r="2114" spans="2:8" ht="14.25" x14ac:dyDescent="0.2">
      <c r="B2114" s="143">
        <f t="shared" si="39"/>
        <v>0</v>
      </c>
      <c r="C2114" s="143"/>
      <c r="D2114" s="144"/>
      <c r="E2114" s="143"/>
      <c r="F2114" s="143"/>
      <c r="G2114" s="147"/>
      <c r="H2114" s="146"/>
    </row>
    <row r="2115" spans="2:8" ht="14.25" x14ac:dyDescent="0.2">
      <c r="B2115" s="143">
        <f t="shared" si="39"/>
        <v>0</v>
      </c>
      <c r="C2115" s="143"/>
      <c r="D2115" s="144"/>
      <c r="E2115" s="143"/>
      <c r="F2115" s="143"/>
      <c r="G2115" s="147"/>
      <c r="H2115" s="146"/>
    </row>
    <row r="2116" spans="2:8" ht="14.25" x14ac:dyDescent="0.2">
      <c r="B2116" s="143">
        <f t="shared" si="39"/>
        <v>0</v>
      </c>
      <c r="C2116" s="143"/>
      <c r="D2116" s="144"/>
      <c r="E2116" s="143"/>
      <c r="F2116" s="143"/>
      <c r="G2116" s="147"/>
      <c r="H2116" s="146"/>
    </row>
    <row r="2117" spans="2:8" ht="14.25" x14ac:dyDescent="0.2">
      <c r="B2117" s="143">
        <f t="shared" si="39"/>
        <v>0</v>
      </c>
      <c r="C2117" s="143"/>
      <c r="D2117" s="144"/>
      <c r="E2117" s="143"/>
      <c r="F2117" s="143"/>
      <c r="G2117" s="147"/>
      <c r="H2117" s="146"/>
    </row>
    <row r="2118" spans="2:8" ht="14.25" x14ac:dyDescent="0.2">
      <c r="B2118" s="143">
        <f t="shared" si="39"/>
        <v>0</v>
      </c>
      <c r="C2118" s="143"/>
      <c r="D2118" s="144"/>
      <c r="E2118" s="143"/>
      <c r="F2118" s="143"/>
      <c r="G2118" s="147"/>
      <c r="H2118" s="146"/>
    </row>
    <row r="2119" spans="2:8" ht="14.25" x14ac:dyDescent="0.2">
      <c r="B2119" s="143">
        <f t="shared" si="39"/>
        <v>0</v>
      </c>
      <c r="C2119" s="143"/>
      <c r="D2119" s="144"/>
      <c r="E2119" s="143"/>
      <c r="F2119" s="143"/>
      <c r="G2119" s="147"/>
      <c r="H2119" s="146"/>
    </row>
    <row r="2120" spans="2:8" ht="14.25" x14ac:dyDescent="0.2">
      <c r="B2120" s="143">
        <f t="shared" si="39"/>
        <v>0</v>
      </c>
      <c r="C2120" s="143"/>
      <c r="D2120" s="144"/>
      <c r="E2120" s="143"/>
      <c r="F2120" s="143"/>
      <c r="G2120" s="147"/>
      <c r="H2120" s="146"/>
    </row>
    <row r="2121" spans="2:8" ht="14.25" x14ac:dyDescent="0.2">
      <c r="B2121" s="143">
        <f t="shared" si="39"/>
        <v>0</v>
      </c>
      <c r="C2121" s="143"/>
      <c r="D2121" s="144"/>
      <c r="E2121" s="143"/>
      <c r="F2121" s="143"/>
      <c r="G2121" s="147"/>
      <c r="H2121" s="146"/>
    </row>
    <row r="2122" spans="2:8" ht="14.25" x14ac:dyDescent="0.2">
      <c r="B2122" s="143">
        <f t="shared" si="39"/>
        <v>0</v>
      </c>
      <c r="C2122" s="143"/>
      <c r="D2122" s="144"/>
      <c r="E2122" s="143"/>
      <c r="F2122" s="143"/>
      <c r="G2122" s="147"/>
      <c r="H2122" s="146"/>
    </row>
    <row r="2123" spans="2:8" ht="14.25" x14ac:dyDescent="0.2">
      <c r="B2123" s="143">
        <f t="shared" si="39"/>
        <v>0</v>
      </c>
      <c r="C2123" s="143"/>
      <c r="D2123" s="144"/>
      <c r="E2123" s="143"/>
      <c r="F2123" s="143"/>
      <c r="G2123" s="147"/>
      <c r="H2123" s="146"/>
    </row>
    <row r="2124" spans="2:8" ht="14.25" x14ac:dyDescent="0.2">
      <c r="B2124" s="143">
        <f t="shared" si="39"/>
        <v>0</v>
      </c>
      <c r="C2124" s="143"/>
      <c r="D2124" s="144"/>
      <c r="E2124" s="143"/>
      <c r="F2124" s="143"/>
      <c r="G2124" s="147"/>
      <c r="H2124" s="146"/>
    </row>
    <row r="2125" spans="2:8" ht="14.25" x14ac:dyDescent="0.2">
      <c r="B2125" s="143">
        <f t="shared" si="39"/>
        <v>0</v>
      </c>
      <c r="C2125" s="143"/>
      <c r="D2125" s="144"/>
      <c r="E2125" s="143"/>
      <c r="F2125" s="143"/>
      <c r="G2125" s="147"/>
      <c r="H2125" s="146"/>
    </row>
    <row r="2126" spans="2:8" ht="14.25" x14ac:dyDescent="0.2">
      <c r="B2126" s="143">
        <f t="shared" si="39"/>
        <v>0</v>
      </c>
      <c r="C2126" s="143"/>
      <c r="D2126" s="144"/>
      <c r="E2126" s="143"/>
      <c r="F2126" s="143"/>
      <c r="G2126" s="147"/>
      <c r="H2126" s="146"/>
    </row>
    <row r="2127" spans="2:8" ht="14.25" x14ac:dyDescent="0.2">
      <c r="B2127" s="143">
        <f t="shared" si="39"/>
        <v>0</v>
      </c>
      <c r="C2127" s="143"/>
      <c r="D2127" s="144"/>
      <c r="E2127" s="143"/>
      <c r="F2127" s="143"/>
      <c r="G2127" s="147"/>
      <c r="H2127" s="146"/>
    </row>
    <row r="2128" spans="2:8" ht="14.25" x14ac:dyDescent="0.2">
      <c r="B2128" s="143">
        <f t="shared" si="39"/>
        <v>0</v>
      </c>
      <c r="C2128" s="143"/>
      <c r="D2128" s="144"/>
      <c r="E2128" s="143"/>
      <c r="F2128" s="143"/>
      <c r="G2128" s="147"/>
      <c r="H2128" s="146"/>
    </row>
    <row r="2129" spans="2:8" ht="14.25" x14ac:dyDescent="0.2">
      <c r="B2129" s="143">
        <f t="shared" si="39"/>
        <v>0</v>
      </c>
      <c r="C2129" s="143"/>
      <c r="D2129" s="144"/>
      <c r="E2129" s="143"/>
      <c r="F2129" s="143"/>
      <c r="G2129" s="147"/>
      <c r="H2129" s="146"/>
    </row>
    <row r="2130" spans="2:8" ht="14.25" x14ac:dyDescent="0.2">
      <c r="B2130" s="143">
        <f t="shared" si="39"/>
        <v>0</v>
      </c>
      <c r="C2130" s="143"/>
      <c r="D2130" s="144"/>
      <c r="E2130" s="143"/>
      <c r="F2130" s="143"/>
      <c r="G2130" s="147"/>
      <c r="H2130" s="146"/>
    </row>
    <row r="2131" spans="2:8" ht="14.25" x14ac:dyDescent="0.2">
      <c r="B2131" s="143">
        <f t="shared" si="39"/>
        <v>0</v>
      </c>
      <c r="C2131" s="143"/>
      <c r="D2131" s="144"/>
      <c r="E2131" s="143"/>
      <c r="F2131" s="143"/>
      <c r="G2131" s="147"/>
      <c r="H2131" s="146"/>
    </row>
    <row r="2132" spans="2:8" ht="14.25" x14ac:dyDescent="0.2">
      <c r="B2132" s="143">
        <f t="shared" si="39"/>
        <v>0</v>
      </c>
      <c r="C2132" s="143"/>
      <c r="D2132" s="144"/>
      <c r="E2132" s="143"/>
      <c r="F2132" s="143"/>
      <c r="G2132" s="147"/>
      <c r="H2132" s="146"/>
    </row>
    <row r="2133" spans="2:8" ht="14.25" x14ac:dyDescent="0.2">
      <c r="B2133" s="143">
        <f t="shared" si="39"/>
        <v>0</v>
      </c>
      <c r="C2133" s="143"/>
      <c r="D2133" s="144"/>
      <c r="E2133" s="143"/>
      <c r="F2133" s="143"/>
      <c r="G2133" s="147"/>
      <c r="H2133" s="146"/>
    </row>
    <row r="2134" spans="2:8" ht="14.25" x14ac:dyDescent="0.2">
      <c r="B2134" s="143">
        <f t="shared" si="39"/>
        <v>0</v>
      </c>
      <c r="C2134" s="143"/>
      <c r="D2134" s="144"/>
      <c r="E2134" s="143"/>
      <c r="F2134" s="143"/>
      <c r="G2134" s="147"/>
      <c r="H2134" s="146"/>
    </row>
    <row r="2136" spans="2:8" ht="14.25" x14ac:dyDescent="0.2">
      <c r="B2136" s="143">
        <f t="shared" si="39"/>
        <v>0</v>
      </c>
      <c r="C2136" s="143"/>
      <c r="D2136" s="144"/>
      <c r="E2136" s="143"/>
      <c r="F2136" s="143"/>
      <c r="G2136" s="147"/>
      <c r="H2136" s="146"/>
    </row>
    <row r="2137" spans="2:8" ht="14.25" x14ac:dyDescent="0.2">
      <c r="B2137" s="143">
        <f t="shared" si="39"/>
        <v>0</v>
      </c>
      <c r="C2137" s="143"/>
      <c r="D2137" s="144"/>
      <c r="E2137" s="143"/>
      <c r="F2137" s="143"/>
      <c r="G2137" s="147"/>
      <c r="H2137" s="146"/>
    </row>
    <row r="2138" spans="2:8" ht="14.25" x14ac:dyDescent="0.2">
      <c r="B2138" s="143">
        <f t="shared" si="39"/>
        <v>0</v>
      </c>
      <c r="C2138" s="143"/>
      <c r="D2138" s="144"/>
      <c r="E2138" s="143"/>
      <c r="F2138" s="143"/>
      <c r="G2138" s="147"/>
      <c r="H2138" s="146"/>
    </row>
    <row r="2139" spans="2:8" ht="14.25" x14ac:dyDescent="0.2">
      <c r="B2139" s="143">
        <f t="shared" si="39"/>
        <v>0</v>
      </c>
      <c r="C2139" s="143"/>
      <c r="D2139" s="144"/>
      <c r="E2139" s="143"/>
      <c r="F2139" s="143"/>
      <c r="G2139" s="147"/>
      <c r="H2139" s="146"/>
    </row>
    <row r="2140" spans="2:8" ht="14.25" x14ac:dyDescent="0.2">
      <c r="B2140" s="143">
        <f t="shared" si="39"/>
        <v>0</v>
      </c>
      <c r="C2140" s="143"/>
      <c r="D2140" s="144"/>
      <c r="E2140" s="143"/>
      <c r="F2140" s="143"/>
      <c r="G2140" s="147"/>
      <c r="H2140" s="146"/>
    </row>
    <row r="2141" spans="2:8" ht="14.25" x14ac:dyDescent="0.2">
      <c r="B2141" s="143">
        <f t="shared" si="39"/>
        <v>0</v>
      </c>
      <c r="C2141" s="143"/>
      <c r="D2141" s="144"/>
      <c r="E2141" s="143"/>
      <c r="F2141" s="143"/>
      <c r="G2141" s="147"/>
      <c r="H2141" s="146"/>
    </row>
    <row r="2142" spans="2:8" ht="14.25" x14ac:dyDescent="0.2">
      <c r="B2142" s="143">
        <f t="shared" si="39"/>
        <v>0</v>
      </c>
      <c r="C2142" s="143"/>
      <c r="D2142" s="144"/>
      <c r="E2142" s="143"/>
      <c r="F2142" s="143"/>
      <c r="G2142" s="147"/>
      <c r="H2142" s="146"/>
    </row>
    <row r="2143" spans="2:8" ht="14.25" x14ac:dyDescent="0.2">
      <c r="B2143" s="143">
        <f t="shared" si="39"/>
        <v>0</v>
      </c>
      <c r="C2143" s="143"/>
      <c r="D2143" s="144"/>
      <c r="E2143" s="143"/>
      <c r="F2143" s="143"/>
      <c r="G2143" s="147"/>
      <c r="H2143" s="146"/>
    </row>
    <row r="2144" spans="2:8" ht="14.25" x14ac:dyDescent="0.2">
      <c r="B2144" s="143">
        <f t="shared" si="39"/>
        <v>0</v>
      </c>
      <c r="C2144" s="143"/>
      <c r="D2144" s="144"/>
      <c r="E2144" s="143"/>
      <c r="F2144" s="143"/>
      <c r="G2144" s="147"/>
      <c r="H2144" s="146"/>
    </row>
    <row r="2145" spans="2:8" ht="14.25" x14ac:dyDescent="0.2">
      <c r="B2145" s="143">
        <f t="shared" si="39"/>
        <v>0</v>
      </c>
      <c r="C2145" s="143"/>
      <c r="D2145" s="144"/>
      <c r="E2145" s="143"/>
      <c r="F2145" s="143"/>
      <c r="G2145" s="147"/>
      <c r="H2145" s="146"/>
    </row>
    <row r="2146" spans="2:8" ht="14.25" x14ac:dyDescent="0.2">
      <c r="B2146" s="143">
        <f t="shared" si="39"/>
        <v>0</v>
      </c>
      <c r="C2146" s="143"/>
      <c r="D2146" s="144"/>
      <c r="E2146" s="143"/>
      <c r="F2146" s="143"/>
      <c r="G2146" s="147"/>
      <c r="H2146" s="146"/>
    </row>
    <row r="2147" spans="2:8" ht="14.25" x14ac:dyDescent="0.2">
      <c r="B2147" s="148">
        <f t="shared" si="39"/>
        <v>0</v>
      </c>
      <c r="C2147" s="148"/>
      <c r="D2147" s="161"/>
      <c r="E2147" s="148"/>
      <c r="F2147" s="148"/>
      <c r="G2147" s="149"/>
      <c r="H2147" s="150"/>
    </row>
    <row r="2159" spans="2:8" x14ac:dyDescent="0.2">
      <c r="F2159" s="217"/>
      <c r="G2159" s="218"/>
    </row>
    <row r="2160" spans="2:8" x14ac:dyDescent="0.2">
      <c r="F2160" s="87"/>
      <c r="G2160" s="219"/>
    </row>
    <row r="2161" spans="6:7" x14ac:dyDescent="0.2">
      <c r="F2161" s="87"/>
      <c r="G2161" s="219"/>
    </row>
  </sheetData>
  <mergeCells count="4">
    <mergeCell ref="L1425:M1426"/>
    <mergeCell ref="N1425:R1426"/>
    <mergeCell ref="N1427:P1427"/>
    <mergeCell ref="Q1427:R1427"/>
  </mergeCells>
  <conditionalFormatting sqref="M1429:M1460">
    <cfRule type="expression" dxfId="83" priority="14">
      <formula>OR(WEEKDAY(M1429,2)=6,WEEKDAY(M1429,2)=7)</formula>
    </cfRule>
  </conditionalFormatting>
  <conditionalFormatting sqref="E242:F242">
    <cfRule type="duplicateValues" dxfId="82" priority="13"/>
  </conditionalFormatting>
  <conditionalFormatting sqref="E249:F249">
    <cfRule type="duplicateValues" dxfId="81" priority="12"/>
  </conditionalFormatting>
  <conditionalFormatting sqref="E254:F254">
    <cfRule type="duplicateValues" dxfId="80" priority="11"/>
  </conditionalFormatting>
  <dataValidations count="3">
    <dataValidation type="list" allowBlank="1" showInputMessage="1" showErrorMessage="1" sqref="F1:F172 F174:F442 F444:F1048576" xr:uid="{00D90045-00AD-4C63-99C9-009700CA002C}">
      <formula1>INDIRECT("Данные["&amp;$E1&amp;"]")</formula1>
    </dataValidation>
    <dataValidation type="list" allowBlank="1" showInputMessage="1" showErrorMessage="1" sqref="F443" xr:uid="{00590040-00AD-41EA-93E4-00C3005A0059}">
      <formula1>INDIRECT("Данные["&amp;$E445&amp;"]")</formula1>
    </dataValidation>
    <dataValidation type="list" allowBlank="1" showInputMessage="1" showErrorMessage="1" sqref="E1:E1048576" xr:uid="{00060020-0073-4969-BB0B-00EF009400E2}">
      <formula1>INDIRECT("Данные[#Заголовки]")</formula1>
    </dataValidation>
  </dataValidations>
  <pageMargins left="0.7" right="0.7" top="0.75" bottom="0.75" header="0.3" footer="0.3"/>
  <pageSetup paperSize="9" scale="10" firstPageNumber="4294967295" fitToWidth="0" fitToHeight="0" orientation="portrait"/>
  <tableParts count="2">
    <tablePart r:id="rId1"/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Справочник!$R$3:$R$14</xm:f>
          </x14:formula1>
          <xm:sqref>L1425</xm:sqref>
        </x14:dataValidation>
        <x14:dataValidation type="list" allowBlank="1" showInputMessage="1" showErrorMessage="1" xr:uid="{00000000-0002-0000-0300-000001000000}">
          <x14:formula1>
            <xm:f>Справочник!$V$3:$V$23</xm:f>
          </x14:formula1>
          <xm:sqref>N1425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1:E60"/>
  <sheetViews>
    <sheetView topLeftCell="A37" workbookViewId="0">
      <selection activeCell="H46" sqref="H46"/>
    </sheetView>
  </sheetViews>
  <sheetFormatPr defaultRowHeight="15" x14ac:dyDescent="0.25"/>
  <cols>
    <col min="1" max="1" width="4.5703125" customWidth="1"/>
    <col min="2" max="2" width="13.85546875" style="87" customWidth="1"/>
    <col min="3" max="3" width="11.28515625" style="87" customWidth="1"/>
    <col min="4" max="4" width="20.28515625" style="87" bestFit="1" customWidth="1"/>
    <col min="5" max="5" width="14.7109375" style="87" customWidth="1"/>
    <col min="8" max="8" width="24" customWidth="1"/>
    <col min="9" max="10" width="6" customWidth="1"/>
    <col min="11" max="11" width="11.85546875" bestFit="1" customWidth="1"/>
  </cols>
  <sheetData>
    <row r="1" spans="2:5" x14ac:dyDescent="0.25">
      <c r="B1" s="220" t="s">
        <v>56</v>
      </c>
      <c r="C1" s="206" t="s">
        <v>87</v>
      </c>
      <c r="D1" s="206" t="s">
        <v>188</v>
      </c>
      <c r="E1" s="221" t="s">
        <v>189</v>
      </c>
    </row>
    <row r="2" spans="2:5" x14ac:dyDescent="0.25">
      <c r="B2" s="222" t="str">
        <f>TEXT(Таблица9[[#This Row],[Дата]],"М")</f>
        <v>1</v>
      </c>
      <c r="C2" s="223">
        <v>44576</v>
      </c>
      <c r="D2" s="224" t="s">
        <v>183</v>
      </c>
      <c r="E2" s="225">
        <v>10713</v>
      </c>
    </row>
    <row r="3" spans="2:5" x14ac:dyDescent="0.25">
      <c r="B3" s="226" t="str">
        <f>TEXT(Таблица9[[#This Row],[Дата]],"М")</f>
        <v>1</v>
      </c>
      <c r="C3" s="227">
        <v>44576</v>
      </c>
      <c r="D3" s="228" t="s">
        <v>190</v>
      </c>
      <c r="E3" s="229">
        <v>2200</v>
      </c>
    </row>
    <row r="4" spans="2:5" x14ac:dyDescent="0.25">
      <c r="B4" s="226" t="str">
        <f>TEXT(Таблица9[[#This Row],[Дата]],"М")</f>
        <v>1</v>
      </c>
      <c r="C4" s="227">
        <v>44589</v>
      </c>
      <c r="D4" s="228" t="s">
        <v>184</v>
      </c>
      <c r="E4" s="229">
        <f>4228+6449</f>
        <v>10677</v>
      </c>
    </row>
    <row r="5" spans="2:5" x14ac:dyDescent="0.25">
      <c r="B5" s="222" t="str">
        <f>TEXT(Таблица9[[#This Row],[Дата]],"М")</f>
        <v>2</v>
      </c>
      <c r="C5" s="223">
        <v>44607</v>
      </c>
      <c r="D5" s="224" t="s">
        <v>183</v>
      </c>
      <c r="E5" s="225">
        <v>19503</v>
      </c>
    </row>
    <row r="6" spans="2:5" x14ac:dyDescent="0.25">
      <c r="B6" s="226" t="str">
        <f>TEXT(Таблица9[[#This Row],[Дата]],"М")</f>
        <v>2</v>
      </c>
      <c r="C6" s="227">
        <v>44620</v>
      </c>
      <c r="D6" s="228" t="s">
        <v>184</v>
      </c>
      <c r="E6" s="229">
        <v>9326</v>
      </c>
    </row>
    <row r="7" spans="2:5" x14ac:dyDescent="0.25">
      <c r="B7" s="226" t="str">
        <f>TEXT(Таблица9[[#This Row],[Дата]],"М")</f>
        <v>2</v>
      </c>
      <c r="C7" s="227">
        <v>44617</v>
      </c>
      <c r="D7" s="228" t="s">
        <v>190</v>
      </c>
      <c r="E7" s="229">
        <v>2000</v>
      </c>
    </row>
    <row r="8" spans="2:5" x14ac:dyDescent="0.25">
      <c r="B8" s="226" t="str">
        <f>TEXT(Таблица9[[#This Row],[Дата]],"М")</f>
        <v>2</v>
      </c>
      <c r="C8" s="227">
        <v>44608</v>
      </c>
      <c r="D8" s="228" t="s">
        <v>37</v>
      </c>
      <c r="E8" s="229">
        <v>4080</v>
      </c>
    </row>
    <row r="9" spans="2:5" x14ac:dyDescent="0.25">
      <c r="B9" s="226" t="str">
        <f>TEXT(Таблица9[[#This Row],[Дата]],"М")</f>
        <v>2</v>
      </c>
      <c r="C9" s="227">
        <v>44610</v>
      </c>
      <c r="D9" s="228" t="s">
        <v>191</v>
      </c>
      <c r="E9" s="229">
        <v>22000</v>
      </c>
    </row>
    <row r="10" spans="2:5" x14ac:dyDescent="0.25">
      <c r="B10" s="222" t="str">
        <f>TEXT(Таблица9[[#This Row],[Дата]],"М")</f>
        <v>3</v>
      </c>
      <c r="C10" s="223">
        <v>44635</v>
      </c>
      <c r="D10" s="224" t="s">
        <v>183</v>
      </c>
      <c r="E10" s="225">
        <v>17029</v>
      </c>
    </row>
    <row r="11" spans="2:5" x14ac:dyDescent="0.25">
      <c r="B11" s="226" t="str">
        <f>TEXT(Таблица9[[#This Row],[Дата]],"М")</f>
        <v>3</v>
      </c>
      <c r="C11" s="227">
        <v>44645</v>
      </c>
      <c r="D11" s="228" t="s">
        <v>191</v>
      </c>
      <c r="E11" s="229">
        <v>2000</v>
      </c>
    </row>
    <row r="12" spans="2:5" x14ac:dyDescent="0.25">
      <c r="B12" s="226" t="str">
        <f>TEXT(Таблица9[[#This Row],[Дата]],"М")</f>
        <v>3</v>
      </c>
      <c r="C12" s="227">
        <v>44646</v>
      </c>
      <c r="D12" s="228" t="s">
        <v>190</v>
      </c>
      <c r="E12" s="229">
        <v>415</v>
      </c>
    </row>
    <row r="13" spans="2:5" x14ac:dyDescent="0.25">
      <c r="B13" s="226" t="str">
        <f>TEXT(Таблица9[[#This Row],[Дата]],"М")</f>
        <v>3</v>
      </c>
      <c r="C13" s="227">
        <v>44650</v>
      </c>
      <c r="D13" s="228" t="s">
        <v>184</v>
      </c>
      <c r="E13" s="229">
        <v>11500</v>
      </c>
    </row>
    <row r="14" spans="2:5" x14ac:dyDescent="0.25">
      <c r="B14" s="222" t="str">
        <f>TEXT(Таблица9[[#This Row],[Дата]],"М")</f>
        <v>4</v>
      </c>
      <c r="C14" s="223">
        <v>44666</v>
      </c>
      <c r="D14" s="224" t="s">
        <v>183</v>
      </c>
      <c r="E14" s="225">
        <v>21750</v>
      </c>
    </row>
    <row r="15" spans="2:5" x14ac:dyDescent="0.25">
      <c r="B15" s="226" t="str">
        <f>TEXT(Таблица9[[#This Row],[Дата]],"М")</f>
        <v>4</v>
      </c>
      <c r="C15" s="227">
        <v>44679</v>
      </c>
      <c r="D15" s="228" t="s">
        <v>184</v>
      </c>
      <c r="E15" s="229">
        <f>60+12716</f>
        <v>12776</v>
      </c>
    </row>
    <row r="16" spans="2:5" x14ac:dyDescent="0.25">
      <c r="B16" s="226" t="str">
        <f>TEXT(Таблица9[[#This Row],[Дата]],"М")</f>
        <v>4</v>
      </c>
      <c r="C16" s="227">
        <v>44671</v>
      </c>
      <c r="D16" s="228" t="s">
        <v>191</v>
      </c>
      <c r="E16" s="229">
        <v>2248</v>
      </c>
    </row>
    <row r="17" spans="2:5" x14ac:dyDescent="0.25">
      <c r="B17" s="222" t="str">
        <f>TEXT(Таблица9[[#This Row],[Дата]],"М")</f>
        <v>5</v>
      </c>
      <c r="C17" s="223">
        <v>44696</v>
      </c>
      <c r="D17" s="224" t="s">
        <v>183</v>
      </c>
      <c r="E17" s="225">
        <f>7874+11013</f>
        <v>18887</v>
      </c>
    </row>
    <row r="18" spans="2:5" x14ac:dyDescent="0.25">
      <c r="B18" s="226" t="str">
        <f>TEXT(Таблица9[[#This Row],[Дата]],"М")</f>
        <v>5</v>
      </c>
      <c r="C18" s="227">
        <v>44709</v>
      </c>
      <c r="D18" s="228" t="s">
        <v>184</v>
      </c>
      <c r="E18" s="229">
        <f>2500+6297</f>
        <v>8797</v>
      </c>
    </row>
    <row r="19" spans="2:5" x14ac:dyDescent="0.25">
      <c r="B19" s="226" t="str">
        <f>TEXT(Таблица9[[#This Row],[Дата]],"М")</f>
        <v>5</v>
      </c>
      <c r="C19" s="227">
        <v>44689</v>
      </c>
      <c r="D19" s="228" t="s">
        <v>190</v>
      </c>
      <c r="E19" s="229">
        <v>550</v>
      </c>
    </row>
    <row r="20" spans="2:5" x14ac:dyDescent="0.25">
      <c r="B20" s="226" t="str">
        <f>TEXT(Таблица9[[#This Row],[Дата]],"М")</f>
        <v>5</v>
      </c>
      <c r="C20" s="227">
        <v>44701</v>
      </c>
      <c r="D20" s="228" t="s">
        <v>191</v>
      </c>
      <c r="E20" s="229">
        <v>8750</v>
      </c>
    </row>
    <row r="21" spans="2:5" x14ac:dyDescent="0.25">
      <c r="B21" s="222" t="str">
        <f>TEXT(Таблица9[[#This Row],[Дата]],"М")</f>
        <v>6</v>
      </c>
      <c r="C21" s="223">
        <v>44727</v>
      </c>
      <c r="D21" s="224" t="s">
        <v>183</v>
      </c>
      <c r="E21" s="225">
        <f>8433+10538</f>
        <v>18971</v>
      </c>
    </row>
    <row r="22" spans="2:5" x14ac:dyDescent="0.25">
      <c r="B22" s="226" t="str">
        <f>TEXT(Таблица9[[#This Row],[Дата]],"М")</f>
        <v>6</v>
      </c>
      <c r="C22" s="227">
        <v>44727</v>
      </c>
      <c r="D22" s="228" t="s">
        <v>37</v>
      </c>
      <c r="E22" s="229">
        <v>2040</v>
      </c>
    </row>
    <row r="23" spans="2:5" x14ac:dyDescent="0.25">
      <c r="B23" s="226" t="str">
        <f>TEXT(Таблица9[[#This Row],[Дата]],"М")</f>
        <v>6</v>
      </c>
      <c r="C23" s="227">
        <v>44740</v>
      </c>
      <c r="D23" s="228" t="s">
        <v>190</v>
      </c>
      <c r="E23" s="229">
        <v>2300</v>
      </c>
    </row>
    <row r="24" spans="2:5" x14ac:dyDescent="0.25">
      <c r="B24" s="226" t="str">
        <f>TEXT(Таблица9[[#This Row],[Дата]],"М")</f>
        <v>6</v>
      </c>
      <c r="C24" s="227">
        <v>44732</v>
      </c>
      <c r="D24" s="228" t="s">
        <v>191</v>
      </c>
      <c r="E24" s="229">
        <v>1400</v>
      </c>
    </row>
    <row r="25" spans="2:5" x14ac:dyDescent="0.25">
      <c r="B25" s="226" t="str">
        <f>TEXT(Таблица9[[#This Row],[Дата]],"М")</f>
        <v>6</v>
      </c>
      <c r="C25" s="227">
        <v>44742</v>
      </c>
      <c r="D25" s="228" t="s">
        <v>184</v>
      </c>
      <c r="E25" s="229">
        <v>11057</v>
      </c>
    </row>
    <row r="26" spans="2:5" x14ac:dyDescent="0.25">
      <c r="B26" s="222" t="str">
        <f>TEXT(Таблица9[[#This Row],[Дата]],"М")</f>
        <v>7</v>
      </c>
      <c r="C26" s="223">
        <v>44757</v>
      </c>
      <c r="D26" s="224" t="s">
        <v>192</v>
      </c>
      <c r="E26" s="225">
        <v>64572</v>
      </c>
    </row>
    <row r="27" spans="2:5" x14ac:dyDescent="0.25">
      <c r="B27" s="226" t="str">
        <f>TEXT(Таблица9[[#This Row],[Дата]],"М")</f>
        <v>7</v>
      </c>
      <c r="C27" s="227">
        <v>44757</v>
      </c>
      <c r="D27" s="228" t="s">
        <v>183</v>
      </c>
      <c r="E27" s="229">
        <f>10524+8173+12481</f>
        <v>31178</v>
      </c>
    </row>
    <row r="28" spans="2:5" x14ac:dyDescent="0.25">
      <c r="B28" s="226" t="str">
        <f>TEXT(Таблица9[[#This Row],[Дата]],"М")</f>
        <v>7</v>
      </c>
      <c r="C28" s="227">
        <v>44772</v>
      </c>
      <c r="D28" s="228" t="s">
        <v>184</v>
      </c>
      <c r="E28" s="229">
        <v>12472</v>
      </c>
    </row>
    <row r="29" spans="2:5" x14ac:dyDescent="0.25">
      <c r="B29" s="226" t="str">
        <f>TEXT(Таблица9[[#This Row],[Дата]],"М")</f>
        <v>7</v>
      </c>
      <c r="C29" s="227">
        <v>44767</v>
      </c>
      <c r="D29" s="228" t="s">
        <v>190</v>
      </c>
      <c r="E29" s="229">
        <v>1050</v>
      </c>
    </row>
    <row r="30" spans="2:5" x14ac:dyDescent="0.25">
      <c r="B30" s="222" t="str">
        <f>TEXT(Таблица9[[#This Row],[Дата]],"М")</f>
        <v>8</v>
      </c>
      <c r="C30" s="223">
        <v>44788</v>
      </c>
      <c r="D30" s="224" t="s">
        <v>183</v>
      </c>
      <c r="E30" s="225">
        <v>12535</v>
      </c>
    </row>
    <row r="31" spans="2:5" x14ac:dyDescent="0.25">
      <c r="B31" s="226" t="str">
        <f>TEXT(Таблица9[[#This Row],[Дата]],"М")</f>
        <v>8</v>
      </c>
      <c r="C31" s="227">
        <v>44799</v>
      </c>
      <c r="D31" s="228" t="s">
        <v>184</v>
      </c>
      <c r="E31" s="229">
        <v>12534</v>
      </c>
    </row>
    <row r="32" spans="2:5" x14ac:dyDescent="0.25">
      <c r="B32" s="226" t="str">
        <f>TEXT(Таблица9[[#This Row],[Дата]],"М")</f>
        <v>8</v>
      </c>
      <c r="C32" s="227">
        <v>44803</v>
      </c>
      <c r="D32" s="228" t="s">
        <v>185</v>
      </c>
      <c r="E32" s="229">
        <v>26575</v>
      </c>
    </row>
    <row r="33" spans="2:5" x14ac:dyDescent="0.25">
      <c r="B33" s="222" t="str">
        <f>TEXT(Таблица9[[#This Row],[Дата]],"М")</f>
        <v>9</v>
      </c>
      <c r="C33" s="223">
        <v>44819</v>
      </c>
      <c r="D33" s="224" t="s">
        <v>183</v>
      </c>
      <c r="E33" s="225">
        <v>12235</v>
      </c>
    </row>
    <row r="34" spans="2:5" x14ac:dyDescent="0.25">
      <c r="B34" s="226" t="str">
        <f>TEXT(Таблица9[[#This Row],[Дата]],"М")</f>
        <v>9</v>
      </c>
      <c r="C34" s="227">
        <v>44830</v>
      </c>
      <c r="D34" s="228" t="s">
        <v>184</v>
      </c>
      <c r="E34" s="229">
        <v>13105</v>
      </c>
    </row>
    <row r="35" spans="2:5" x14ac:dyDescent="0.25">
      <c r="B35" s="226" t="str">
        <f>TEXT(Таблица9[[#This Row],[Дата]],"М")</f>
        <v>9</v>
      </c>
      <c r="C35" s="227">
        <v>44834</v>
      </c>
      <c r="D35" s="228" t="s">
        <v>185</v>
      </c>
      <c r="E35" s="229">
        <v>24855</v>
      </c>
    </row>
    <row r="36" spans="2:5" x14ac:dyDescent="0.25">
      <c r="B36" s="222" t="str">
        <f>TEXT(Таблица9[[#This Row],[Дата]],"М")</f>
        <v>10</v>
      </c>
      <c r="C36" s="223">
        <v>44849</v>
      </c>
      <c r="D36" s="224" t="s">
        <v>183</v>
      </c>
      <c r="E36" s="225">
        <v>13105</v>
      </c>
    </row>
    <row r="37" spans="2:5" x14ac:dyDescent="0.25">
      <c r="B37" s="226" t="str">
        <f>TEXT(Таблица9[[#This Row],[Дата]],"М")</f>
        <v>10</v>
      </c>
      <c r="C37" s="227">
        <v>44860</v>
      </c>
      <c r="D37" s="228" t="s">
        <v>184</v>
      </c>
      <c r="E37" s="229">
        <v>24855</v>
      </c>
    </row>
    <row r="38" spans="2:5" x14ac:dyDescent="0.25">
      <c r="B38" s="226" t="str">
        <f>TEXT(Таблица9[[#This Row],[Дата]],"М")</f>
        <v>10</v>
      </c>
      <c r="C38" s="227">
        <v>44862</v>
      </c>
      <c r="D38" s="228" t="s">
        <v>185</v>
      </c>
      <c r="E38" s="229">
        <v>12481</v>
      </c>
    </row>
    <row r="39" spans="2:5" x14ac:dyDescent="0.25">
      <c r="B39" s="226" t="str">
        <f>TEXT(Таблица9[[#This Row],[Дата]],"М")</f>
        <v>10</v>
      </c>
      <c r="C39" s="227">
        <v>44849</v>
      </c>
      <c r="D39" s="228" t="s">
        <v>190</v>
      </c>
      <c r="E39" s="229">
        <v>500</v>
      </c>
    </row>
    <row r="40" spans="2:5" x14ac:dyDescent="0.25">
      <c r="B40" s="222" t="str">
        <f>TEXT(Таблица9[[#This Row],[Дата]],"М")</f>
        <v>11</v>
      </c>
      <c r="C40" s="223">
        <v>44880</v>
      </c>
      <c r="D40" s="224" t="s">
        <v>183</v>
      </c>
      <c r="E40" s="225">
        <v>13728</v>
      </c>
    </row>
    <row r="41" spans="2:5" x14ac:dyDescent="0.25">
      <c r="B41" s="226" t="str">
        <f>TEXT(Таблица9[[#This Row],[Дата]],"М")</f>
        <v>11</v>
      </c>
      <c r="C41" s="227">
        <v>44893</v>
      </c>
      <c r="D41" s="228" t="s">
        <v>184</v>
      </c>
      <c r="E41" s="229">
        <v>24855</v>
      </c>
    </row>
    <row r="42" spans="2:5" x14ac:dyDescent="0.25">
      <c r="B42" s="222" t="str">
        <f>TEXT(Таблица9[[#This Row],[Дата]],"М")</f>
        <v>12</v>
      </c>
      <c r="C42" s="223">
        <v>44897</v>
      </c>
      <c r="D42" s="224" t="s">
        <v>185</v>
      </c>
      <c r="E42" s="225">
        <v>12401</v>
      </c>
    </row>
    <row r="43" spans="2:5" x14ac:dyDescent="0.25">
      <c r="B43" s="226" t="str">
        <f>TEXT(Таблица9[[#This Row],[Дата]],"М")</f>
        <v>12</v>
      </c>
      <c r="C43" s="227">
        <v>44902</v>
      </c>
      <c r="D43" s="228" t="s">
        <v>191</v>
      </c>
      <c r="E43" s="229">
        <v>5000</v>
      </c>
    </row>
    <row r="44" spans="2:5" x14ac:dyDescent="0.25">
      <c r="B44" s="226" t="str">
        <f>TEXT(Таблица9[[#This Row],[Дата]],"М")</f>
        <v>12</v>
      </c>
      <c r="C44" s="227">
        <v>44910</v>
      </c>
      <c r="D44" s="228" t="s">
        <v>183</v>
      </c>
      <c r="E44" s="229">
        <v>13497</v>
      </c>
    </row>
    <row r="45" spans="2:5" x14ac:dyDescent="0.25">
      <c r="B45" s="226" t="str">
        <f>TEXT(Таблица9[[#This Row],[Дата]],"М")</f>
        <v>12</v>
      </c>
      <c r="C45" s="227">
        <v>44918</v>
      </c>
      <c r="D45" s="228" t="s">
        <v>184</v>
      </c>
      <c r="E45" s="229">
        <v>21978</v>
      </c>
    </row>
    <row r="46" spans="2:5" x14ac:dyDescent="0.25">
      <c r="B46" s="226" t="str">
        <f>TEXT(Таблица9[[#This Row],[Дата]],"М")</f>
        <v>12</v>
      </c>
      <c r="C46" s="227">
        <v>44924</v>
      </c>
      <c r="D46" s="228" t="s">
        <v>185</v>
      </c>
      <c r="E46" s="229">
        <v>13114</v>
      </c>
    </row>
    <row r="47" spans="2:5" x14ac:dyDescent="0.25">
      <c r="B47" s="226" t="str">
        <f>TEXT(Таблица9[[#This Row],[Дата]],"М")</f>
        <v>12</v>
      </c>
      <c r="C47" s="227">
        <v>44925</v>
      </c>
      <c r="D47" s="228" t="s">
        <v>191</v>
      </c>
      <c r="E47" s="229">
        <v>5000</v>
      </c>
    </row>
    <row r="48" spans="2:5" x14ac:dyDescent="0.25">
      <c r="B48" s="555" t="str">
        <f>TEXT(Таблица9[[#This Row],[Дата]],"М")</f>
        <v>1</v>
      </c>
      <c r="C48" s="556">
        <v>44927</v>
      </c>
      <c r="D48" s="557" t="s">
        <v>191</v>
      </c>
      <c r="E48" s="558">
        <f>500+287+855+285+550+570+285</f>
        <v>3332</v>
      </c>
    </row>
    <row r="49" spans="2:5" x14ac:dyDescent="0.25">
      <c r="B49" s="226" t="str">
        <f>TEXT(Таблица9[[#This Row],[Дата]],"М")</f>
        <v>1</v>
      </c>
      <c r="C49" s="227">
        <v>44936</v>
      </c>
      <c r="D49" s="228" t="s">
        <v>191</v>
      </c>
      <c r="E49" s="229">
        <v>5300</v>
      </c>
    </row>
    <row r="50" spans="2:5" x14ac:dyDescent="0.25">
      <c r="B50" s="226" t="str">
        <f>TEXT(Таблица9[[#This Row],[Дата]],"М")</f>
        <v>1</v>
      </c>
      <c r="C50" s="227"/>
      <c r="D50" s="228"/>
      <c r="E50" s="229"/>
    </row>
    <row r="51" spans="2:5" x14ac:dyDescent="0.25">
      <c r="B51" s="226" t="str">
        <f>TEXT(Таблица9[[#This Row],[Дата]],"М")</f>
        <v>1</v>
      </c>
      <c r="C51" s="227"/>
      <c r="D51" s="228"/>
      <c r="E51" s="229"/>
    </row>
    <row r="52" spans="2:5" x14ac:dyDescent="0.25">
      <c r="B52" s="226" t="str">
        <f>TEXT(Таблица9[[#This Row],[Дата]],"М")</f>
        <v>1</v>
      </c>
      <c r="C52" s="227"/>
      <c r="D52" s="228"/>
      <c r="E52" s="229"/>
    </row>
    <row r="53" spans="2:5" x14ac:dyDescent="0.25">
      <c r="B53" s="226" t="str">
        <f>TEXT(Таблица9[[#This Row],[Дата]],"М")</f>
        <v>1</v>
      </c>
      <c r="C53" s="227"/>
      <c r="D53" s="228"/>
      <c r="E53" s="229"/>
    </row>
    <row r="54" spans="2:5" x14ac:dyDescent="0.25">
      <c r="B54" s="226" t="str">
        <f>TEXT(Таблица9[[#This Row],[Дата]],"М")</f>
        <v>1</v>
      </c>
      <c r="C54" s="228"/>
      <c r="D54" s="228"/>
      <c r="E54" s="229"/>
    </row>
    <row r="55" spans="2:5" x14ac:dyDescent="0.25">
      <c r="B55" s="226" t="str">
        <f>TEXT(Таблица9[[#This Row],[Дата]],"М")</f>
        <v>1</v>
      </c>
      <c r="C55" s="228"/>
      <c r="D55" s="228"/>
      <c r="E55" s="229"/>
    </row>
    <row r="56" spans="2:5" x14ac:dyDescent="0.25">
      <c r="B56" s="226" t="str">
        <f>TEXT(Таблица9[[#This Row],[Дата]],"М")</f>
        <v>1</v>
      </c>
      <c r="C56" s="228"/>
      <c r="D56" s="228"/>
      <c r="E56" s="229"/>
    </row>
    <row r="57" spans="2:5" x14ac:dyDescent="0.25">
      <c r="B57" s="226" t="str">
        <f>TEXT(Таблица9[[#This Row],[Дата]],"М")</f>
        <v>1</v>
      </c>
      <c r="C57" s="228"/>
      <c r="D57" s="228"/>
      <c r="E57" s="229"/>
    </row>
    <row r="58" spans="2:5" x14ac:dyDescent="0.25">
      <c r="B58" s="226" t="str">
        <f>TEXT(Таблица9[[#This Row],[Дата]],"М")</f>
        <v>1</v>
      </c>
      <c r="C58" s="228"/>
      <c r="D58" s="228"/>
      <c r="E58" s="229"/>
    </row>
    <row r="59" spans="2:5" x14ac:dyDescent="0.25">
      <c r="B59" s="226" t="str">
        <f>TEXT(Таблица9[[#This Row],[Дата]],"М")</f>
        <v>1</v>
      </c>
      <c r="C59" s="228"/>
      <c r="D59" s="228"/>
      <c r="E59" s="229"/>
    </row>
    <row r="60" spans="2:5" x14ac:dyDescent="0.25">
      <c r="B60" s="230" t="str">
        <f>TEXT(Таблица9[[#This Row],[Дата]],"М")</f>
        <v>1</v>
      </c>
      <c r="C60" s="232"/>
      <c r="D60" s="232"/>
      <c r="E60" s="231"/>
    </row>
  </sheetData>
  <pageMargins left="0.7" right="0.7" top="0.75" bottom="0.75" header="0.3" footer="0.3"/>
  <pageSetup paperSize="9" firstPageNumber="4294967295" orientation="portrait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Справочник!$C$19:$C$27</xm:f>
          </x14:formula1>
          <xm:sqref>D2:D60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-0.249977111117893"/>
  </sheetPr>
  <dimension ref="B1:G53"/>
  <sheetViews>
    <sheetView tabSelected="1" zoomScale="90" zoomScaleNormal="90" workbookViewId="0">
      <selection activeCell="F2" sqref="F2:F4"/>
    </sheetView>
  </sheetViews>
  <sheetFormatPr defaultRowHeight="15" x14ac:dyDescent="0.25"/>
  <cols>
    <col min="2" max="2" width="15.7109375" style="87" customWidth="1"/>
    <col min="3" max="3" width="14.28515625" style="87" customWidth="1"/>
    <col min="4" max="4" width="15.7109375" style="87" customWidth="1"/>
    <col min="5" max="5" width="15" style="87" bestFit="1" customWidth="1"/>
    <col min="6" max="6" width="12" style="87" bestFit="1" customWidth="1"/>
  </cols>
  <sheetData>
    <row r="1" spans="2:6" x14ac:dyDescent="0.25">
      <c r="B1" s="220" t="s">
        <v>56</v>
      </c>
      <c r="C1" s="206" t="s">
        <v>87</v>
      </c>
      <c r="D1" s="206" t="s">
        <v>193</v>
      </c>
      <c r="E1" s="206" t="s">
        <v>194</v>
      </c>
      <c r="F1" s="221" t="s">
        <v>189</v>
      </c>
    </row>
    <row r="2" spans="2:6" x14ac:dyDescent="0.25">
      <c r="B2" s="222" t="str">
        <f>TEXT(ЖКУ[[#This Row],[Дата]], "М-Г")</f>
        <v>1-22</v>
      </c>
      <c r="C2" s="223">
        <v>44569</v>
      </c>
      <c r="D2" s="224" t="s">
        <v>195</v>
      </c>
      <c r="E2" s="224"/>
      <c r="F2" s="225">
        <v>11050</v>
      </c>
    </row>
    <row r="3" spans="2:6" x14ac:dyDescent="0.25">
      <c r="B3" s="226" t="str">
        <f>TEXT(ЖКУ[[#This Row],[Дата]], "М-Г")</f>
        <v>1-22</v>
      </c>
      <c r="C3" s="227">
        <v>44576</v>
      </c>
      <c r="D3" s="228" t="s">
        <v>196</v>
      </c>
      <c r="E3" s="228"/>
      <c r="F3" s="229">
        <v>405</v>
      </c>
    </row>
    <row r="4" spans="2:6" x14ac:dyDescent="0.25">
      <c r="B4" s="226" t="str">
        <f>TEXT(ЖКУ[[#This Row],[Дата]], "М-Г")</f>
        <v>1-22</v>
      </c>
      <c r="C4" s="227">
        <v>44581</v>
      </c>
      <c r="D4" s="228" t="s">
        <v>196</v>
      </c>
      <c r="E4" s="228"/>
      <c r="F4" s="229">
        <v>43</v>
      </c>
    </row>
    <row r="5" spans="2:6" x14ac:dyDescent="0.25">
      <c r="B5" s="222" t="str">
        <f>TEXT(ЖКУ[[#This Row],[Дата]], "М-Г")</f>
        <v>2-22</v>
      </c>
      <c r="C5" s="223">
        <v>44602</v>
      </c>
      <c r="D5" s="224" t="s">
        <v>195</v>
      </c>
      <c r="E5" s="224"/>
      <c r="F5" s="225">
        <v>10324</v>
      </c>
    </row>
    <row r="6" spans="2:6" x14ac:dyDescent="0.25">
      <c r="B6" s="222" t="str">
        <f>TEXT(ЖКУ[[#This Row],[Дата]], "М-Г")</f>
        <v>3-22</v>
      </c>
      <c r="C6" s="223">
        <v>44630</v>
      </c>
      <c r="D6" s="224" t="s">
        <v>195</v>
      </c>
      <c r="E6" s="224"/>
      <c r="F6" s="225">
        <v>11361</v>
      </c>
    </row>
    <row r="7" spans="2:6" x14ac:dyDescent="0.25">
      <c r="B7" s="222" t="str">
        <f>TEXT(ЖКУ[[#This Row],[Дата]], "М-Г")</f>
        <v>4-22</v>
      </c>
      <c r="C7" s="223">
        <v>44653</v>
      </c>
      <c r="D7" s="224" t="s">
        <v>196</v>
      </c>
      <c r="E7" s="224"/>
      <c r="F7" s="225">
        <v>387</v>
      </c>
    </row>
    <row r="8" spans="2:6" x14ac:dyDescent="0.25">
      <c r="B8" s="226" t="str">
        <f>TEXT(ЖКУ[[#This Row],[Дата]], "М-Г")</f>
        <v>4-22</v>
      </c>
      <c r="C8" s="227">
        <v>44667</v>
      </c>
      <c r="D8" s="228" t="s">
        <v>195</v>
      </c>
      <c r="E8" s="228"/>
      <c r="F8" s="229">
        <v>11325</v>
      </c>
    </row>
    <row r="9" spans="2:6" x14ac:dyDescent="0.25">
      <c r="B9" s="222" t="str">
        <f>TEXT(ЖКУ[[#This Row],[Дата]], "М-Г")</f>
        <v>5-22</v>
      </c>
      <c r="C9" s="223">
        <v>44696</v>
      </c>
      <c r="D9" s="224" t="s">
        <v>195</v>
      </c>
      <c r="E9" s="224"/>
      <c r="F9" s="225">
        <v>11540</v>
      </c>
    </row>
    <row r="10" spans="2:6" x14ac:dyDescent="0.25">
      <c r="B10" s="222" t="str">
        <f>TEXT(ЖКУ[[#This Row],[Дата]], "М-Г")</f>
        <v>6-22</v>
      </c>
      <c r="C10" s="223">
        <v>44727</v>
      </c>
      <c r="D10" s="224" t="s">
        <v>195</v>
      </c>
      <c r="E10" s="224"/>
      <c r="F10" s="225">
        <v>10640</v>
      </c>
    </row>
    <row r="11" spans="2:6" x14ac:dyDescent="0.25">
      <c r="B11" s="222" t="str">
        <f>TEXT(ЖКУ[[#This Row],[Дата]], "М-Г")</f>
        <v>7-22</v>
      </c>
      <c r="C11" s="223">
        <v>44757</v>
      </c>
      <c r="D11" s="224" t="s">
        <v>195</v>
      </c>
      <c r="E11" s="224"/>
      <c r="F11" s="225">
        <v>10255</v>
      </c>
    </row>
    <row r="12" spans="2:6" x14ac:dyDescent="0.25">
      <c r="B12" s="222" t="str">
        <f>TEXT(ЖКУ[[#This Row],[Дата]], "М-Г")</f>
        <v>8-22</v>
      </c>
      <c r="C12" s="223">
        <v>44782</v>
      </c>
      <c r="D12" s="224" t="s">
        <v>196</v>
      </c>
      <c r="E12" s="224"/>
      <c r="F12" s="225">
        <v>500</v>
      </c>
    </row>
    <row r="13" spans="2:6" x14ac:dyDescent="0.25">
      <c r="B13" s="226" t="str">
        <f>TEXT(ЖКУ[[#This Row],[Дата]], "М-Г")</f>
        <v>8-22</v>
      </c>
      <c r="C13" s="227">
        <v>44787</v>
      </c>
      <c r="D13" s="228" t="s">
        <v>195</v>
      </c>
      <c r="E13" s="228"/>
      <c r="F13" s="229">
        <v>10767</v>
      </c>
    </row>
    <row r="14" spans="2:6" x14ac:dyDescent="0.25">
      <c r="B14" s="222" t="str">
        <f>TEXT(ЖКУ[[#This Row],[Дата]], "М-Г")</f>
        <v>9-22</v>
      </c>
      <c r="C14" s="223">
        <v>44819</v>
      </c>
      <c r="D14" s="224" t="s">
        <v>195</v>
      </c>
      <c r="E14" s="224"/>
      <c r="F14" s="225">
        <v>10103</v>
      </c>
    </row>
    <row r="15" spans="2:6" x14ac:dyDescent="0.25">
      <c r="B15" s="226" t="str">
        <f>TEXT(ЖКУ[[#This Row],[Дата]], "М-Г")</f>
        <v>9-22</v>
      </c>
      <c r="C15" s="227">
        <v>44812</v>
      </c>
      <c r="D15" s="228" t="s">
        <v>196</v>
      </c>
      <c r="E15" s="228"/>
      <c r="F15" s="229">
        <v>38</v>
      </c>
    </row>
    <row r="16" spans="2:6" x14ac:dyDescent="0.25">
      <c r="B16" s="226" t="str">
        <f>TEXT(ЖКУ[[#This Row],[Дата]], "М-Г")</f>
        <v>9-22</v>
      </c>
      <c r="C16" s="227">
        <v>44813</v>
      </c>
      <c r="D16" s="228" t="s">
        <v>196</v>
      </c>
      <c r="E16" s="228"/>
      <c r="F16" s="229">
        <v>230</v>
      </c>
    </row>
    <row r="17" spans="2:7" x14ac:dyDescent="0.25">
      <c r="B17" s="226" t="str">
        <f>TEXT(ЖКУ[[#This Row],[Дата]], "М-Г")</f>
        <v>9-22</v>
      </c>
      <c r="C17" s="227">
        <v>44831</v>
      </c>
      <c r="D17" s="228" t="s">
        <v>196</v>
      </c>
      <c r="E17" s="228"/>
      <c r="F17" s="229">
        <v>100</v>
      </c>
    </row>
    <row r="18" spans="2:7" x14ac:dyDescent="0.25">
      <c r="B18" s="222" t="str">
        <f>TEXT(ЖКУ[[#This Row],[Дата]], "М-Г")</f>
        <v>10-22</v>
      </c>
      <c r="C18" s="223">
        <v>44849</v>
      </c>
      <c r="D18" s="224" t="s">
        <v>195</v>
      </c>
      <c r="E18" s="224"/>
      <c r="F18" s="225">
        <v>10867</v>
      </c>
    </row>
    <row r="19" spans="2:7" x14ac:dyDescent="0.25">
      <c r="B19" s="226" t="str">
        <f>TEXT(ЖКУ[[#This Row],[Дата]], "М-Г")</f>
        <v>10-22</v>
      </c>
      <c r="C19" s="227">
        <v>44848</v>
      </c>
      <c r="D19" s="228" t="s">
        <v>196</v>
      </c>
      <c r="E19" s="228"/>
      <c r="F19" s="229">
        <v>268</v>
      </c>
    </row>
    <row r="20" spans="2:7" x14ac:dyDescent="0.25">
      <c r="B20" s="226" t="str">
        <f>TEXT(ЖКУ[[#This Row],[Дата]], "М-Г")</f>
        <v>10-22</v>
      </c>
      <c r="C20" s="227">
        <v>44854</v>
      </c>
      <c r="D20" s="228" t="s">
        <v>196</v>
      </c>
      <c r="E20" s="228"/>
      <c r="F20" s="229">
        <v>71</v>
      </c>
    </row>
    <row r="21" spans="2:7" x14ac:dyDescent="0.25">
      <c r="B21" s="226" t="str">
        <f>TEXT(ЖКУ[[#This Row],[Дата]], "М-Г")</f>
        <v>10-22</v>
      </c>
      <c r="C21" s="227">
        <v>44855</v>
      </c>
      <c r="D21" s="228" t="s">
        <v>196</v>
      </c>
      <c r="E21" s="228"/>
      <c r="F21" s="229">
        <v>35</v>
      </c>
    </row>
    <row r="22" spans="2:7" x14ac:dyDescent="0.25">
      <c r="B22" s="222" t="str">
        <f>TEXT(ЖКУ[[#This Row],[Дата]], "М-Г")</f>
        <v>11-22</v>
      </c>
      <c r="C22" s="223">
        <v>44876</v>
      </c>
      <c r="D22" s="224" t="s">
        <v>195</v>
      </c>
      <c r="E22" s="224"/>
      <c r="F22" s="225">
        <f>22785/2</f>
        <v>11392.5</v>
      </c>
    </row>
    <row r="23" spans="2:7" x14ac:dyDescent="0.25">
      <c r="B23" s="222" t="str">
        <f>TEXT(ЖКУ[[#This Row],[Дата]], "М-Г")</f>
        <v>11-22</v>
      </c>
      <c r="C23" s="223">
        <v>44885</v>
      </c>
      <c r="D23" s="224" t="s">
        <v>197</v>
      </c>
      <c r="E23" s="224" t="s">
        <v>198</v>
      </c>
      <c r="F23" s="225">
        <v>807</v>
      </c>
    </row>
    <row r="24" spans="2:7" x14ac:dyDescent="0.25">
      <c r="B24" s="226" t="str">
        <f>TEXT(ЖКУ[[#This Row],[Дата]], "М-Г")</f>
        <v>11-22</v>
      </c>
      <c r="C24" s="227">
        <v>44890</v>
      </c>
      <c r="D24" s="228" t="s">
        <v>196</v>
      </c>
      <c r="E24" s="228" t="s">
        <v>199</v>
      </c>
      <c r="F24" s="229">
        <v>100</v>
      </c>
    </row>
    <row r="25" spans="2:7" x14ac:dyDescent="0.25">
      <c r="B25" s="222" t="str">
        <f>TEXT(ЖКУ[[#This Row],[Дата]], "М-Г")</f>
        <v>12-22</v>
      </c>
      <c r="C25" s="223">
        <v>44901</v>
      </c>
      <c r="D25" s="224" t="s">
        <v>196</v>
      </c>
      <c r="E25" s="224"/>
      <c r="F25" s="225">
        <v>6</v>
      </c>
    </row>
    <row r="26" spans="2:7" x14ac:dyDescent="0.25">
      <c r="B26" s="226" t="str">
        <f>TEXT(ЖКУ[[#This Row],[Дата]], "М-Г")</f>
        <v>12-22</v>
      </c>
      <c r="C26" s="227">
        <v>44907</v>
      </c>
      <c r="D26" s="228" t="s">
        <v>197</v>
      </c>
      <c r="E26" s="228" t="s">
        <v>200</v>
      </c>
      <c r="F26" s="229">
        <v>129</v>
      </c>
    </row>
    <row r="27" spans="2:7" x14ac:dyDescent="0.25">
      <c r="B27" s="226" t="str">
        <f>TEXT(ЖКУ[[#This Row],[Дата]], "М-Г")</f>
        <v>12-22</v>
      </c>
      <c r="C27" s="227">
        <v>44907</v>
      </c>
      <c r="D27" s="228" t="s">
        <v>197</v>
      </c>
      <c r="E27" s="228" t="s">
        <v>201</v>
      </c>
      <c r="F27" s="229">
        <f>279-129</f>
        <v>150</v>
      </c>
    </row>
    <row r="28" spans="2:7" x14ac:dyDescent="0.25">
      <c r="B28" s="226" t="str">
        <f>TEXT(ЖКУ[[#This Row],[Дата]], "М-Г")</f>
        <v>12-22</v>
      </c>
      <c r="C28" s="227">
        <v>44911</v>
      </c>
      <c r="D28" s="228" t="s">
        <v>195</v>
      </c>
      <c r="E28" s="228"/>
      <c r="F28" s="229">
        <v>11450</v>
      </c>
    </row>
    <row r="29" spans="2:7" x14ac:dyDescent="0.25">
      <c r="B29" s="555" t="str">
        <f>TEXT(ЖКУ[[#This Row],[Дата]], "М-Г")</f>
        <v>1-23</v>
      </c>
      <c r="C29" s="556">
        <v>44942</v>
      </c>
      <c r="D29" s="557" t="s">
        <v>195</v>
      </c>
      <c r="E29" s="557"/>
      <c r="F29" s="233">
        <v>11682</v>
      </c>
      <c r="G29" s="558">
        <f>23363/2</f>
        <v>11681.5</v>
      </c>
    </row>
    <row r="30" spans="2:7" x14ac:dyDescent="0.25">
      <c r="B30" s="226" t="str">
        <f>TEXT(ЖКУ[[#This Row],[Дата]], "М-Г")</f>
        <v>2-23</v>
      </c>
      <c r="C30" s="556">
        <v>44974</v>
      </c>
      <c r="D30" s="228" t="s">
        <v>195</v>
      </c>
      <c r="E30" s="228"/>
      <c r="F30" s="558"/>
    </row>
    <row r="31" spans="2:7" x14ac:dyDescent="0.25">
      <c r="B31" s="226" t="str">
        <f>TEXT(ЖКУ[[#This Row],[Дата]], "М-Г")</f>
        <v>1-00</v>
      </c>
      <c r="C31" s="228"/>
      <c r="D31" s="228"/>
      <c r="E31" s="228"/>
      <c r="F31" s="233"/>
    </row>
    <row r="32" spans="2:7" x14ac:dyDescent="0.25">
      <c r="B32" s="226" t="str">
        <f>TEXT(ЖКУ[[#This Row],[Дата]], "М-Г")</f>
        <v>1-00</v>
      </c>
      <c r="C32" s="228"/>
      <c r="D32" s="228"/>
      <c r="E32" s="228"/>
      <c r="F32" s="233"/>
    </row>
    <row r="33" spans="2:6" x14ac:dyDescent="0.25">
      <c r="B33" s="226" t="str">
        <f>TEXT(ЖКУ[[#This Row],[Дата]], "М-Г")</f>
        <v>1-00</v>
      </c>
      <c r="C33" s="228"/>
      <c r="D33" s="228"/>
      <c r="E33" s="228"/>
      <c r="F33" s="233"/>
    </row>
    <row r="34" spans="2:6" x14ac:dyDescent="0.25">
      <c r="B34" s="226" t="str">
        <f>TEXT(ЖКУ[[#This Row],[Дата]], "М-Г")</f>
        <v>1-00</v>
      </c>
      <c r="C34" s="228"/>
      <c r="D34" s="228"/>
      <c r="E34" s="228"/>
      <c r="F34" s="233"/>
    </row>
    <row r="35" spans="2:6" x14ac:dyDescent="0.25">
      <c r="B35" s="230" t="str">
        <f>TEXT(ЖКУ[[#This Row],[Дата]], "М-Г")</f>
        <v>1-00</v>
      </c>
      <c r="C35" s="232"/>
      <c r="D35" s="232"/>
      <c r="E35" s="232"/>
      <c r="F35" s="234"/>
    </row>
    <row r="36" spans="2:6" x14ac:dyDescent="0.25">
      <c r="B36" s="226" t="str">
        <f>TEXT(ЖКУ[[#This Row],[Дата]], "М-Г")</f>
        <v>1-00</v>
      </c>
      <c r="C36" s="228"/>
      <c r="D36" s="228"/>
      <c r="E36" s="228"/>
      <c r="F36" s="233"/>
    </row>
    <row r="37" spans="2:6" x14ac:dyDescent="0.25">
      <c r="B37" s="226" t="str">
        <f>TEXT(ЖКУ[[#This Row],[Дата]], "М-Г")</f>
        <v>1-00</v>
      </c>
      <c r="C37" s="228"/>
      <c r="D37" s="228"/>
      <c r="E37" s="228"/>
      <c r="F37" s="233"/>
    </row>
    <row r="38" spans="2:6" x14ac:dyDescent="0.25">
      <c r="B38" s="226" t="str">
        <f>TEXT(ЖКУ[[#This Row],[Дата]], "М-Г")</f>
        <v>1-00</v>
      </c>
      <c r="C38" s="228"/>
      <c r="D38" s="228"/>
      <c r="E38" s="228"/>
      <c r="F38" s="233"/>
    </row>
    <row r="39" spans="2:6" x14ac:dyDescent="0.25">
      <c r="B39" s="226" t="str">
        <f>TEXT(ЖКУ[[#This Row],[Дата]], "М-Г")</f>
        <v>1-00</v>
      </c>
      <c r="C39" s="228"/>
      <c r="D39" s="228"/>
      <c r="E39" s="228"/>
      <c r="F39" s="233"/>
    </row>
    <row r="40" spans="2:6" x14ac:dyDescent="0.25">
      <c r="B40" s="226" t="str">
        <f>TEXT(ЖКУ[[#This Row],[Дата]], "М-Г")</f>
        <v>1-00</v>
      </c>
      <c r="C40" s="228"/>
      <c r="D40" s="228"/>
      <c r="E40" s="228"/>
      <c r="F40" s="233"/>
    </row>
    <row r="41" spans="2:6" x14ac:dyDescent="0.25">
      <c r="B41" s="226" t="str">
        <f>TEXT(ЖКУ[[#This Row],[Дата]], "М-Г")</f>
        <v>1-00</v>
      </c>
      <c r="C41" s="228"/>
      <c r="D41" s="228"/>
      <c r="E41" s="228"/>
      <c r="F41" s="233"/>
    </row>
    <row r="42" spans="2:6" x14ac:dyDescent="0.25">
      <c r="B42" s="226" t="str">
        <f>TEXT(ЖКУ[[#This Row],[Дата]], "М-Г")</f>
        <v>1-00</v>
      </c>
      <c r="C42" s="228"/>
      <c r="D42" s="228"/>
      <c r="E42" s="228"/>
      <c r="F42" s="233"/>
    </row>
    <row r="43" spans="2:6" x14ac:dyDescent="0.25">
      <c r="B43" s="226" t="str">
        <f>TEXT(ЖКУ[[#This Row],[Дата]], "М-Г")</f>
        <v>1-00</v>
      </c>
      <c r="C43" s="228"/>
      <c r="D43" s="228"/>
      <c r="E43" s="228"/>
      <c r="F43" s="233"/>
    </row>
    <row r="44" spans="2:6" x14ac:dyDescent="0.25">
      <c r="B44" s="226" t="str">
        <f>TEXT(ЖКУ[[#This Row],[Дата]], "М-Г")</f>
        <v>1-00</v>
      </c>
      <c r="C44" s="228"/>
      <c r="D44" s="228"/>
      <c r="E44" s="228"/>
      <c r="F44" s="233"/>
    </row>
    <row r="45" spans="2:6" x14ac:dyDescent="0.25">
      <c r="B45" s="226" t="str">
        <f>TEXT(ЖКУ[[#This Row],[Дата]], "М-Г")</f>
        <v>1-00</v>
      </c>
      <c r="C45" s="228"/>
      <c r="D45" s="228"/>
      <c r="E45" s="228"/>
      <c r="F45" s="233"/>
    </row>
    <row r="46" spans="2:6" x14ac:dyDescent="0.25">
      <c r="B46" s="226" t="str">
        <f>TEXT(ЖКУ[[#This Row],[Дата]], "М-Г")</f>
        <v>1-00</v>
      </c>
      <c r="C46" s="228"/>
      <c r="D46" s="228"/>
      <c r="E46" s="228"/>
      <c r="F46" s="233"/>
    </row>
    <row r="47" spans="2:6" x14ac:dyDescent="0.25">
      <c r="B47" s="226" t="str">
        <f>TEXT(ЖКУ[[#This Row],[Дата]], "М-Г")</f>
        <v>1-00</v>
      </c>
      <c r="C47" s="228"/>
      <c r="D47" s="228"/>
      <c r="E47" s="228"/>
      <c r="F47" s="233"/>
    </row>
    <row r="48" spans="2:6" x14ac:dyDescent="0.25">
      <c r="B48" s="226" t="str">
        <f>TEXT(ЖКУ[[#This Row],[Дата]], "М-Г")</f>
        <v>1-00</v>
      </c>
      <c r="C48" s="228"/>
      <c r="D48" s="228"/>
      <c r="E48" s="228"/>
      <c r="F48" s="233"/>
    </row>
    <row r="49" spans="2:6" x14ac:dyDescent="0.25">
      <c r="B49" s="226" t="str">
        <f>TEXT(ЖКУ[[#This Row],[Дата]], "М-Г")</f>
        <v>1-00</v>
      </c>
      <c r="C49" s="228"/>
      <c r="D49" s="228"/>
      <c r="E49" s="228"/>
      <c r="F49" s="233"/>
    </row>
    <row r="50" spans="2:6" x14ac:dyDescent="0.25">
      <c r="B50" s="226" t="str">
        <f>TEXT(ЖКУ[[#This Row],[Дата]], "М-Г")</f>
        <v>1-00</v>
      </c>
      <c r="C50" s="228"/>
      <c r="D50" s="228"/>
      <c r="E50" s="228"/>
      <c r="F50" s="233"/>
    </row>
    <row r="51" spans="2:6" x14ac:dyDescent="0.25">
      <c r="B51" s="226" t="str">
        <f>TEXT(ЖКУ[[#This Row],[Дата]], "М-Г")</f>
        <v>1-00</v>
      </c>
      <c r="C51" s="228"/>
      <c r="D51" s="228"/>
      <c r="E51" s="228"/>
      <c r="F51" s="233"/>
    </row>
    <row r="52" spans="2:6" x14ac:dyDescent="0.25">
      <c r="B52" s="226" t="str">
        <f>TEXT(ЖКУ[[#This Row],[Дата]], "М-Г")</f>
        <v>1-00</v>
      </c>
      <c r="C52" s="228"/>
      <c r="D52" s="228"/>
      <c r="E52" s="228"/>
      <c r="F52" s="233"/>
    </row>
    <row r="53" spans="2:6" x14ac:dyDescent="0.25">
      <c r="B53" s="230" t="str">
        <f>TEXT(ЖКУ[[#This Row],[Дата]], "М-Г")</f>
        <v>1-00</v>
      </c>
      <c r="C53" s="232"/>
      <c r="D53" s="232"/>
      <c r="E53" s="232"/>
      <c r="F53" s="234"/>
    </row>
  </sheetData>
  <pageMargins left="0.7" right="0.7" top="0.75" bottom="0.75" header="0.3" footer="0.3"/>
  <pageSetup paperSize="9" firstPageNumber="4294967295" orientation="portrait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500-000000000000}">
          <x14:formula1>
            <xm:f>Справочник!$D$19:$D$23</xm:f>
          </x14:formula1>
          <xm:sqref>D2:D53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S37"/>
  <sheetViews>
    <sheetView zoomScale="90" workbookViewId="0">
      <selection activeCell="F4" sqref="F4"/>
    </sheetView>
  </sheetViews>
  <sheetFormatPr defaultRowHeight="15.75" x14ac:dyDescent="0.25"/>
  <cols>
    <col min="2" max="2" width="12.5703125" style="101" bestFit="1" customWidth="1"/>
    <col min="3" max="3" width="11.28515625" style="90" bestFit="1" customWidth="1"/>
    <col min="4" max="4" width="18.42578125" style="90" bestFit="1" customWidth="1"/>
    <col min="5" max="5" width="15.85546875" style="574" bestFit="1" customWidth="1"/>
    <col min="8" max="8" width="11.85546875" style="90" bestFit="1" customWidth="1"/>
    <col min="9" max="9" width="11.28515625" style="90" bestFit="1" customWidth="1"/>
    <col min="10" max="10" width="23.42578125" style="235" bestFit="1" customWidth="1"/>
    <col min="11" max="11" width="14.28515625" style="90" customWidth="1"/>
    <col min="13" max="13" width="18.7109375" bestFit="1" customWidth="1"/>
    <col min="14" max="14" width="9.140625" style="87"/>
    <col min="15" max="15" width="22.7109375" bestFit="1" customWidth="1"/>
  </cols>
  <sheetData>
    <row r="1" spans="2:14" x14ac:dyDescent="0.25">
      <c r="B1" s="236" t="s">
        <v>56</v>
      </c>
      <c r="C1" s="236" t="s">
        <v>87</v>
      </c>
      <c r="D1" s="236" t="s">
        <v>202</v>
      </c>
      <c r="E1" s="571" t="s">
        <v>189</v>
      </c>
      <c r="H1" s="237" t="s">
        <v>56</v>
      </c>
      <c r="I1" s="238" t="s">
        <v>87</v>
      </c>
      <c r="J1" s="238" t="s">
        <v>203</v>
      </c>
      <c r="K1" s="239" t="s">
        <v>189</v>
      </c>
    </row>
    <row r="2" spans="2:14" x14ac:dyDescent="0.25">
      <c r="B2" s="240" t="str">
        <f>TEXT(Таблица11[[#This Row],[Дата]],"М")</f>
        <v>1</v>
      </c>
      <c r="C2" s="483">
        <v>44936</v>
      </c>
      <c r="D2" s="241" t="s">
        <v>370</v>
      </c>
      <c r="E2" s="575">
        <v>5000</v>
      </c>
      <c r="H2" s="242" t="str">
        <f>TEXT(Таблица1[[#This Row],[Дата]],"М")</f>
        <v>1</v>
      </c>
      <c r="I2" s="243">
        <v>44936</v>
      </c>
      <c r="J2" s="240"/>
      <c r="K2" s="244">
        <v>300</v>
      </c>
      <c r="M2" s="217"/>
      <c r="N2" s="217"/>
    </row>
    <row r="3" spans="2:14" x14ac:dyDescent="0.25">
      <c r="B3" s="240"/>
      <c r="C3" s="241"/>
      <c r="D3" s="241"/>
      <c r="E3" s="575"/>
      <c r="H3" s="242"/>
      <c r="I3" s="240"/>
      <c r="J3" s="240"/>
      <c r="K3" s="244"/>
      <c r="M3" s="217"/>
    </row>
    <row r="4" spans="2:14" x14ac:dyDescent="0.25">
      <c r="B4" s="240"/>
      <c r="C4" s="241"/>
      <c r="D4" s="241"/>
      <c r="E4" s="575"/>
      <c r="H4" s="242"/>
      <c r="I4" s="240"/>
      <c r="J4" s="240"/>
      <c r="K4" s="244"/>
      <c r="M4" s="245"/>
    </row>
    <row r="5" spans="2:14" x14ac:dyDescent="0.25">
      <c r="B5" s="240"/>
      <c r="C5" s="241"/>
      <c r="D5" s="241"/>
      <c r="E5" s="575"/>
      <c r="H5" s="242"/>
      <c r="I5" s="240"/>
      <c r="J5" s="240"/>
      <c r="K5" s="244"/>
      <c r="M5" s="245"/>
    </row>
    <row r="6" spans="2:14" x14ac:dyDescent="0.25">
      <c r="B6" s="240"/>
      <c r="C6" s="241"/>
      <c r="D6" s="241"/>
      <c r="E6" s="575"/>
      <c r="H6" s="242"/>
      <c r="I6" s="240"/>
      <c r="J6" s="240"/>
      <c r="K6" s="244"/>
      <c r="M6" s="245"/>
      <c r="N6" s="246"/>
    </row>
    <row r="7" spans="2:14" x14ac:dyDescent="0.25">
      <c r="B7" s="240"/>
      <c r="C7" s="241"/>
      <c r="D7" s="241"/>
      <c r="E7" s="575"/>
      <c r="H7" s="242"/>
      <c r="I7" s="240"/>
      <c r="J7" s="240"/>
      <c r="K7" s="244"/>
      <c r="M7" s="245"/>
      <c r="N7" s="246"/>
    </row>
    <row r="8" spans="2:14" x14ac:dyDescent="0.25">
      <c r="B8" s="240"/>
      <c r="C8" s="241"/>
      <c r="D8" s="241"/>
      <c r="E8" s="575"/>
      <c r="H8" s="242"/>
      <c r="I8" s="240"/>
      <c r="J8" s="240"/>
      <c r="K8" s="244"/>
      <c r="M8" s="217"/>
    </row>
    <row r="9" spans="2:14" x14ac:dyDescent="0.25">
      <c r="B9" s="240"/>
      <c r="C9" s="241"/>
      <c r="D9" s="241"/>
      <c r="E9" s="575"/>
      <c r="H9" s="242"/>
      <c r="I9" s="240"/>
      <c r="J9" s="240"/>
      <c r="K9" s="244"/>
      <c r="M9" s="245"/>
    </row>
    <row r="10" spans="2:14" x14ac:dyDescent="0.25">
      <c r="B10" s="240"/>
      <c r="C10" s="241"/>
      <c r="D10" s="241"/>
      <c r="E10" s="575"/>
      <c r="H10" s="242"/>
      <c r="I10" s="240"/>
      <c r="J10" s="240"/>
      <c r="K10" s="244"/>
      <c r="M10" s="245"/>
    </row>
    <row r="11" spans="2:14" x14ac:dyDescent="0.25">
      <c r="B11" s="240"/>
      <c r="C11" s="241"/>
      <c r="D11" s="241"/>
      <c r="E11" s="575"/>
      <c r="H11" s="242"/>
      <c r="I11" s="240"/>
      <c r="J11" s="240"/>
      <c r="K11" s="244"/>
      <c r="M11" s="245"/>
      <c r="N11" s="246"/>
    </row>
    <row r="12" spans="2:14" x14ac:dyDescent="0.25">
      <c r="B12" s="240"/>
      <c r="C12" s="241"/>
      <c r="D12" s="241"/>
      <c r="E12" s="575"/>
      <c r="H12" s="242"/>
      <c r="I12" s="240"/>
      <c r="J12" s="240"/>
      <c r="K12" s="244"/>
      <c r="M12" s="247"/>
      <c r="N12" s="246"/>
    </row>
    <row r="13" spans="2:14" x14ac:dyDescent="0.25">
      <c r="B13" s="240"/>
      <c r="C13" s="241"/>
      <c r="D13" s="241"/>
      <c r="E13" s="575"/>
      <c r="H13" s="242"/>
      <c r="I13" s="240"/>
      <c r="J13" s="240"/>
      <c r="K13" s="244"/>
      <c r="M13" s="217"/>
    </row>
    <row r="14" spans="2:14" x14ac:dyDescent="0.25">
      <c r="B14" s="240"/>
      <c r="C14" s="241"/>
      <c r="D14" s="241"/>
      <c r="E14" s="575"/>
      <c r="H14" s="242"/>
      <c r="I14" s="240"/>
      <c r="J14" s="240"/>
      <c r="K14" s="244"/>
      <c r="M14" s="248"/>
      <c r="N14" s="246"/>
    </row>
    <row r="15" spans="2:14" x14ac:dyDescent="0.25">
      <c r="B15" s="240"/>
      <c r="C15" s="241"/>
      <c r="D15" s="241"/>
      <c r="E15" s="575"/>
      <c r="H15" s="242"/>
      <c r="I15" s="240"/>
      <c r="J15" s="240"/>
      <c r="K15" s="244"/>
      <c r="M15" s="217"/>
    </row>
    <row r="16" spans="2:14" x14ac:dyDescent="0.25">
      <c r="B16" s="240"/>
      <c r="C16" s="241"/>
      <c r="D16" s="241"/>
      <c r="E16" s="575"/>
      <c r="H16" s="242"/>
      <c r="I16" s="240"/>
      <c r="J16" s="240"/>
      <c r="K16" s="244"/>
      <c r="M16" s="245"/>
      <c r="N16" s="246"/>
    </row>
    <row r="17" spans="2:19" x14ac:dyDescent="0.25">
      <c r="B17" s="240"/>
      <c r="C17" s="241"/>
      <c r="D17" s="241"/>
      <c r="E17" s="575"/>
      <c r="H17" s="242"/>
      <c r="I17" s="240"/>
      <c r="J17" s="240"/>
      <c r="K17" s="244"/>
    </row>
    <row r="18" spans="2:19" x14ac:dyDescent="0.25">
      <c r="B18" s="240"/>
      <c r="C18" s="241"/>
      <c r="D18" s="241"/>
      <c r="E18" s="575"/>
      <c r="H18" s="242"/>
      <c r="I18" s="240"/>
      <c r="J18" s="240"/>
      <c r="K18" s="244"/>
      <c r="M18" s="247"/>
    </row>
    <row r="19" spans="2:19" x14ac:dyDescent="0.25">
      <c r="B19" s="240"/>
      <c r="C19" s="241"/>
      <c r="D19" s="241"/>
      <c r="E19" s="575"/>
      <c r="H19" s="242"/>
      <c r="I19" s="240"/>
      <c r="J19" s="240"/>
      <c r="K19" s="244"/>
    </row>
    <row r="20" spans="2:19" x14ac:dyDescent="0.25">
      <c r="B20" s="240"/>
      <c r="C20" s="241"/>
      <c r="D20" s="241"/>
      <c r="E20" s="575"/>
      <c r="H20" s="242"/>
      <c r="I20" s="240"/>
      <c r="J20" s="240"/>
      <c r="K20" s="244"/>
    </row>
    <row r="21" spans="2:19" x14ac:dyDescent="0.25">
      <c r="B21" s="240"/>
      <c r="C21" s="241"/>
      <c r="D21" s="241"/>
      <c r="E21" s="575"/>
      <c r="H21" s="242"/>
      <c r="I21" s="240"/>
      <c r="J21" s="240"/>
      <c r="K21" s="244"/>
    </row>
    <row r="22" spans="2:19" x14ac:dyDescent="0.25">
      <c r="B22" s="539"/>
      <c r="C22" s="543"/>
      <c r="D22" s="543"/>
      <c r="E22" s="572"/>
      <c r="H22" s="251"/>
      <c r="I22" s="249"/>
      <c r="J22" s="249"/>
      <c r="K22" s="252"/>
    </row>
    <row r="23" spans="2:19" x14ac:dyDescent="0.25">
      <c r="B23" s="541"/>
      <c r="C23" s="544"/>
      <c r="D23" s="544"/>
      <c r="E23" s="573"/>
      <c r="H23" s="540"/>
      <c r="I23" s="541"/>
      <c r="J23" s="541"/>
      <c r="K23" s="542"/>
    </row>
    <row r="25" spans="2:19" x14ac:dyDescent="0.25">
      <c r="P25" s="87"/>
    </row>
    <row r="26" spans="2:19" x14ac:dyDescent="0.25">
      <c r="N26" s="246"/>
      <c r="O26" s="253"/>
      <c r="Q26" s="253"/>
      <c r="R26" s="253"/>
    </row>
    <row r="27" spans="2:19" x14ac:dyDescent="0.25">
      <c r="N27" s="246"/>
      <c r="O27" s="253"/>
      <c r="Q27" s="253"/>
      <c r="R27" s="253"/>
      <c r="S27" s="253"/>
    </row>
    <row r="28" spans="2:19" x14ac:dyDescent="0.25">
      <c r="N28" s="246"/>
      <c r="O28" s="253"/>
      <c r="Q28" s="253"/>
      <c r="R28" s="253"/>
    </row>
    <row r="29" spans="2:19" x14ac:dyDescent="0.25">
      <c r="N29" s="246"/>
      <c r="O29" s="253"/>
    </row>
    <row r="30" spans="2:19" x14ac:dyDescent="0.25">
      <c r="N30" s="246"/>
      <c r="O30" s="253"/>
    </row>
    <row r="31" spans="2:19" x14ac:dyDescent="0.25">
      <c r="N31" s="246"/>
      <c r="O31" s="253"/>
    </row>
    <row r="32" spans="2:19" x14ac:dyDescent="0.25">
      <c r="N32" s="246"/>
      <c r="O32" s="253"/>
    </row>
    <row r="36" spans="15:16" x14ac:dyDescent="0.25">
      <c r="O36">
        <f>M33+P30</f>
        <v>0</v>
      </c>
      <c r="P36">
        <v>12500</v>
      </c>
    </row>
    <row r="37" spans="15:16" x14ac:dyDescent="0.25">
      <c r="O37">
        <f>O36+P36</f>
        <v>12500</v>
      </c>
    </row>
  </sheetData>
  <pageMargins left="0.7" right="0.7" top="0.75" bottom="0.75" header="0.3" footer="0.3"/>
  <pageSetup paperSize="9" firstPageNumber="4294967295" orientation="portrait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600-000000000000}">
          <x14:formula1>
            <xm:f>Справочник!$E$19:$E$26</xm:f>
          </x14:formula1>
          <xm:sqref>J2:J23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4">
    <tabColor theme="5" tint="0.59999389629810485"/>
  </sheetPr>
  <dimension ref="A2:S62"/>
  <sheetViews>
    <sheetView zoomScale="85" workbookViewId="0">
      <selection activeCell="D41" sqref="D41"/>
    </sheetView>
  </sheetViews>
  <sheetFormatPr defaultRowHeight="15" outlineLevelRow="1" x14ac:dyDescent="0.25"/>
  <cols>
    <col min="1" max="1" width="3.140625" style="217" customWidth="1"/>
    <col min="2" max="2" width="3.42578125" style="87" customWidth="1"/>
    <col min="3" max="3" width="26" customWidth="1"/>
    <col min="4" max="4" width="10.42578125" style="219" bestFit="1" customWidth="1"/>
    <col min="5" max="5" width="8" style="254" customWidth="1"/>
    <col min="6" max="6" width="14.42578125" style="219" customWidth="1"/>
    <col min="7" max="7" width="9.42578125" style="219" customWidth="1"/>
    <col min="8" max="8" width="10.28515625" style="87" customWidth="1"/>
    <col min="9" max="9" width="13.140625" style="219" customWidth="1"/>
    <col min="10" max="10" width="10.5703125" customWidth="1"/>
    <col min="13" max="13" width="14.140625" customWidth="1"/>
    <col min="14" max="14" width="9.7109375" customWidth="1"/>
    <col min="16" max="16" width="13.140625" customWidth="1"/>
    <col min="17" max="17" width="15" customWidth="1"/>
  </cols>
  <sheetData>
    <row r="2" spans="3:14" x14ac:dyDescent="0.25">
      <c r="C2" s="603" t="s">
        <v>208</v>
      </c>
      <c r="D2" s="255" t="s">
        <v>178</v>
      </c>
      <c r="E2" s="256"/>
      <c r="F2" s="256"/>
      <c r="G2" s="257"/>
      <c r="H2" s="258"/>
      <c r="I2" s="259" t="s">
        <v>178</v>
      </c>
      <c r="J2" s="260" t="s">
        <v>179</v>
      </c>
      <c r="M2" s="87"/>
      <c r="N2" s="87"/>
    </row>
    <row r="3" spans="3:14" x14ac:dyDescent="0.25">
      <c r="C3" s="604"/>
      <c r="D3" s="606" t="s">
        <v>13</v>
      </c>
      <c r="E3" s="607"/>
      <c r="F3" s="606" t="s">
        <v>14</v>
      </c>
      <c r="G3" s="607"/>
      <c r="I3" s="226" t="s">
        <v>180</v>
      </c>
      <c r="J3" s="261">
        <v>69.020200000000003</v>
      </c>
    </row>
    <row r="4" spans="3:14" x14ac:dyDescent="0.25">
      <c r="C4" s="605"/>
      <c r="D4" s="262" t="s">
        <v>209</v>
      </c>
      <c r="E4" s="263" t="s">
        <v>180</v>
      </c>
      <c r="F4" s="262" t="s">
        <v>209</v>
      </c>
      <c r="G4" s="264" t="s">
        <v>180</v>
      </c>
      <c r="I4" s="230" t="s">
        <v>181</v>
      </c>
      <c r="J4" s="545">
        <v>74.136099999999999</v>
      </c>
    </row>
    <row r="5" spans="3:14" x14ac:dyDescent="0.25">
      <c r="C5" s="265" t="s">
        <v>210</v>
      </c>
      <c r="D5" s="117">
        <v>11000</v>
      </c>
      <c r="E5" s="266">
        <f t="shared" ref="E5:E8" si="0">D5/$J$3</f>
        <v>159.37363264667445</v>
      </c>
      <c r="F5" s="267"/>
      <c r="G5" s="267"/>
      <c r="I5" s="87"/>
    </row>
    <row r="6" spans="3:14" x14ac:dyDescent="0.25">
      <c r="C6" s="265" t="s">
        <v>211</v>
      </c>
      <c r="D6" s="117">
        <v>3756</v>
      </c>
      <c r="E6" s="266">
        <f t="shared" si="0"/>
        <v>54.418851292809926</v>
      </c>
      <c r="F6" s="267"/>
      <c r="G6" s="267"/>
      <c r="I6" s="87"/>
    </row>
    <row r="7" spans="3:14" x14ac:dyDescent="0.25">
      <c r="C7" s="265" t="s">
        <v>212</v>
      </c>
      <c r="D7" s="117">
        <v>10000</v>
      </c>
      <c r="E7" s="266">
        <f t="shared" si="0"/>
        <v>144.88512058788587</v>
      </c>
      <c r="F7" s="267"/>
      <c r="G7" s="267"/>
      <c r="I7" s="87"/>
    </row>
    <row r="8" spans="3:14" x14ac:dyDescent="0.25">
      <c r="C8" s="268" t="s">
        <v>213</v>
      </c>
      <c r="D8" s="117">
        <v>10800</v>
      </c>
      <c r="E8" s="266">
        <f t="shared" si="0"/>
        <v>156.47593023491672</v>
      </c>
      <c r="F8" s="267"/>
      <c r="G8" s="267"/>
      <c r="I8" s="87"/>
    </row>
    <row r="9" spans="3:14" x14ac:dyDescent="0.25">
      <c r="C9" s="268" t="s">
        <v>206</v>
      </c>
      <c r="D9" s="117">
        <f>SUM(D5:D8)</f>
        <v>35556</v>
      </c>
      <c r="E9" s="269"/>
      <c r="F9" s="267"/>
      <c r="G9" s="267"/>
      <c r="I9" s="87"/>
    </row>
    <row r="10" spans="3:14" x14ac:dyDescent="0.25">
      <c r="C10" s="608" t="s">
        <v>214</v>
      </c>
      <c r="D10" s="609"/>
      <c r="E10" s="609"/>
      <c r="F10" s="609"/>
      <c r="G10" s="610"/>
      <c r="I10" s="87"/>
    </row>
    <row r="11" spans="3:14" outlineLevel="1" x14ac:dyDescent="0.25">
      <c r="C11" s="265">
        <v>365</v>
      </c>
      <c r="D11" s="117"/>
      <c r="E11" s="266">
        <f t="shared" ref="E11:E33" si="1">D11/$J$3</f>
        <v>0</v>
      </c>
      <c r="F11" s="270">
        <v>0</v>
      </c>
      <c r="G11" s="269">
        <f t="shared" ref="G11:G33" si="2">F11/$J$3</f>
        <v>0</v>
      </c>
    </row>
    <row r="12" spans="3:14" outlineLevel="1" x14ac:dyDescent="0.25">
      <c r="C12" s="265" t="s">
        <v>44</v>
      </c>
      <c r="D12" s="117"/>
      <c r="E12" s="266">
        <f t="shared" si="1"/>
        <v>0</v>
      </c>
      <c r="F12" s="117">
        <v>8000</v>
      </c>
      <c r="G12" s="269">
        <f t="shared" si="2"/>
        <v>115.90809647030869</v>
      </c>
    </row>
    <row r="13" spans="3:14" outlineLevel="1" x14ac:dyDescent="0.25">
      <c r="C13" s="271" t="s">
        <v>215</v>
      </c>
      <c r="D13" s="117"/>
      <c r="E13" s="266">
        <f t="shared" si="1"/>
        <v>0</v>
      </c>
      <c r="F13" s="117">
        <v>12000</v>
      </c>
      <c r="G13" s="269">
        <f t="shared" si="2"/>
        <v>173.86214470546304</v>
      </c>
    </row>
    <row r="14" spans="3:14" outlineLevel="1" x14ac:dyDescent="0.25">
      <c r="C14" s="265" t="s">
        <v>216</v>
      </c>
      <c r="D14" s="117"/>
      <c r="E14" s="266">
        <f t="shared" si="1"/>
        <v>0</v>
      </c>
      <c r="F14" s="117">
        <v>250000</v>
      </c>
      <c r="G14" s="269">
        <f t="shared" si="2"/>
        <v>3622.1280146971467</v>
      </c>
    </row>
    <row r="15" spans="3:14" outlineLevel="1" x14ac:dyDescent="0.25">
      <c r="C15" s="271" t="s">
        <v>217</v>
      </c>
      <c r="D15" s="117"/>
      <c r="E15" s="266">
        <f t="shared" si="1"/>
        <v>0</v>
      </c>
      <c r="F15" s="117"/>
      <c r="G15" s="269">
        <f t="shared" si="2"/>
        <v>0</v>
      </c>
    </row>
    <row r="16" spans="3:14" outlineLevel="1" x14ac:dyDescent="0.25">
      <c r="C16" s="265" t="s">
        <v>218</v>
      </c>
      <c r="D16" s="117">
        <v>2600</v>
      </c>
      <c r="E16" s="269">
        <f t="shared" si="1"/>
        <v>37.670131352850326</v>
      </c>
      <c r="F16" s="117">
        <v>10000</v>
      </c>
      <c r="G16" s="269">
        <f t="shared" si="2"/>
        <v>144.88512058788587</v>
      </c>
    </row>
    <row r="17" spans="3:19" outlineLevel="1" x14ac:dyDescent="0.25">
      <c r="C17" s="265" t="s">
        <v>45</v>
      </c>
      <c r="D17" s="117">
        <v>0</v>
      </c>
      <c r="E17" s="269">
        <f t="shared" si="1"/>
        <v>0</v>
      </c>
      <c r="F17" s="117"/>
      <c r="G17" s="269">
        <f t="shared" si="2"/>
        <v>0</v>
      </c>
    </row>
    <row r="18" spans="3:19" outlineLevel="1" x14ac:dyDescent="0.25">
      <c r="C18" s="265" t="s">
        <v>219</v>
      </c>
      <c r="D18" s="117"/>
      <c r="E18" s="269">
        <f t="shared" si="1"/>
        <v>0</v>
      </c>
      <c r="F18" s="117">
        <v>10000</v>
      </c>
      <c r="G18" s="269">
        <f t="shared" si="2"/>
        <v>144.88512058788587</v>
      </c>
    </row>
    <row r="19" spans="3:19" x14ac:dyDescent="0.25">
      <c r="C19" s="272" t="s">
        <v>206</v>
      </c>
      <c r="D19" s="66">
        <f>SUM(D11:D18)</f>
        <v>2600</v>
      </c>
      <c r="E19" s="273">
        <f t="shared" si="1"/>
        <v>37.670131352850326</v>
      </c>
      <c r="F19" s="66">
        <f>SUM(F11:F14)</f>
        <v>270000</v>
      </c>
      <c r="G19" s="274">
        <f t="shared" si="2"/>
        <v>3911.8982558729181</v>
      </c>
    </row>
    <row r="20" spans="3:19" x14ac:dyDescent="0.25">
      <c r="C20" s="255" t="s">
        <v>220</v>
      </c>
      <c r="D20" s="256"/>
      <c r="E20" s="256"/>
      <c r="F20" s="256"/>
      <c r="G20" s="257"/>
    </row>
    <row r="21" spans="3:19" hidden="1" outlineLevel="1" x14ac:dyDescent="0.25">
      <c r="C21" s="228" t="s">
        <v>28</v>
      </c>
      <c r="D21" s="117">
        <v>0</v>
      </c>
      <c r="E21" s="269">
        <f t="shared" si="1"/>
        <v>0</v>
      </c>
      <c r="F21" s="117">
        <v>0</v>
      </c>
      <c r="G21" s="269">
        <f t="shared" si="2"/>
        <v>0</v>
      </c>
    </row>
    <row r="22" spans="3:19" collapsed="1" x14ac:dyDescent="0.25">
      <c r="C22" s="11" t="s">
        <v>206</v>
      </c>
      <c r="D22" s="66">
        <f>SUM(D16:D21)</f>
        <v>5200</v>
      </c>
      <c r="E22" s="274">
        <f t="shared" si="1"/>
        <v>75.340262705700653</v>
      </c>
      <c r="F22" s="66">
        <f>SUM(F16:F21)</f>
        <v>290000</v>
      </c>
      <c r="G22" s="274">
        <f t="shared" si="2"/>
        <v>4201.6684970486904</v>
      </c>
    </row>
    <row r="23" spans="3:19" x14ac:dyDescent="0.25">
      <c r="C23" s="255" t="s">
        <v>221</v>
      </c>
      <c r="D23" s="256"/>
      <c r="E23" s="256"/>
      <c r="F23" s="256"/>
      <c r="G23" s="257"/>
      <c r="Q23" s="600"/>
      <c r="R23" s="600"/>
      <c r="S23" s="600"/>
    </row>
    <row r="24" spans="3:19" outlineLevel="1" x14ac:dyDescent="0.25">
      <c r="C24" s="275" t="s">
        <v>222</v>
      </c>
      <c r="D24" s="276">
        <v>80000</v>
      </c>
      <c r="E24" s="277">
        <f t="shared" si="1"/>
        <v>1159.0809647030869</v>
      </c>
      <c r="F24" s="276">
        <v>500000</v>
      </c>
      <c r="G24" s="277">
        <f t="shared" si="2"/>
        <v>7244.2560293942934</v>
      </c>
      <c r="R24" s="87"/>
      <c r="S24" s="87"/>
    </row>
    <row r="25" spans="3:19" outlineLevel="1" x14ac:dyDescent="0.25">
      <c r="C25" s="265" t="s">
        <v>223</v>
      </c>
      <c r="D25" s="117">
        <f>E25*$J$3</f>
        <v>89726.260000000009</v>
      </c>
      <c r="E25" s="269">
        <v>1300</v>
      </c>
      <c r="F25" s="117">
        <v>300000</v>
      </c>
      <c r="G25" s="269">
        <f t="shared" si="2"/>
        <v>4346.5536176365758</v>
      </c>
      <c r="R25" s="87"/>
      <c r="S25" s="87"/>
    </row>
    <row r="26" spans="3:19" outlineLevel="1" x14ac:dyDescent="0.25">
      <c r="C26" s="268" t="s">
        <v>224</v>
      </c>
      <c r="D26" s="117">
        <v>16700</v>
      </c>
      <c r="E26" s="269">
        <f t="shared" si="1"/>
        <v>241.9581513817694</v>
      </c>
      <c r="F26" s="117">
        <v>250000</v>
      </c>
      <c r="G26" s="269">
        <f t="shared" si="2"/>
        <v>3622.1280146971467</v>
      </c>
      <c r="R26" s="87"/>
      <c r="S26" s="87"/>
    </row>
    <row r="27" spans="3:19" outlineLevel="1" x14ac:dyDescent="0.25">
      <c r="C27" s="278" t="s">
        <v>225</v>
      </c>
      <c r="D27" s="117">
        <f t="shared" ref="D27:D28" si="3">E27*$J$3</f>
        <v>17255.05</v>
      </c>
      <c r="E27" s="269">
        <v>250</v>
      </c>
      <c r="F27" s="117">
        <v>0</v>
      </c>
      <c r="G27" s="269">
        <f t="shared" si="2"/>
        <v>0</v>
      </c>
      <c r="R27" s="87"/>
      <c r="S27" s="87"/>
    </row>
    <row r="28" spans="3:19" outlineLevel="1" x14ac:dyDescent="0.25">
      <c r="C28" s="278" t="s">
        <v>226</v>
      </c>
      <c r="D28" s="117">
        <f t="shared" si="3"/>
        <v>19325.655999999999</v>
      </c>
      <c r="E28" s="269">
        <v>280</v>
      </c>
      <c r="F28" s="279">
        <v>150000</v>
      </c>
      <c r="G28" s="269">
        <f t="shared" si="2"/>
        <v>2173.2768088182879</v>
      </c>
      <c r="R28" s="87"/>
      <c r="S28" s="87"/>
    </row>
    <row r="29" spans="3:19" outlineLevel="1" x14ac:dyDescent="0.25">
      <c r="C29" s="280" t="s">
        <v>227</v>
      </c>
      <c r="D29" s="276">
        <v>0</v>
      </c>
      <c r="E29" s="277">
        <f t="shared" si="1"/>
        <v>0</v>
      </c>
      <c r="F29" s="281">
        <v>0</v>
      </c>
      <c r="G29" s="277">
        <f t="shared" si="2"/>
        <v>0</v>
      </c>
      <c r="R29" s="87"/>
      <c r="S29" s="87"/>
    </row>
    <row r="30" spans="3:19" outlineLevel="1" x14ac:dyDescent="0.25">
      <c r="C30" s="282" t="s">
        <v>121</v>
      </c>
      <c r="D30" s="276">
        <f>522+94</f>
        <v>616</v>
      </c>
      <c r="E30" s="277">
        <f t="shared" si="1"/>
        <v>8.9249234282137682</v>
      </c>
      <c r="F30" s="281">
        <v>0</v>
      </c>
      <c r="G30" s="277">
        <f t="shared" si="2"/>
        <v>0</v>
      </c>
      <c r="R30" s="87"/>
      <c r="S30" s="87"/>
    </row>
    <row r="31" spans="3:19" outlineLevel="1" x14ac:dyDescent="0.25">
      <c r="C31" s="278"/>
      <c r="D31" s="117"/>
      <c r="E31" s="269"/>
      <c r="F31" s="279"/>
      <c r="G31" s="269"/>
      <c r="R31" s="87"/>
      <c r="S31" s="87"/>
    </row>
    <row r="32" spans="3:19" x14ac:dyDescent="0.25">
      <c r="C32" s="272" t="s">
        <v>206</v>
      </c>
      <c r="D32" s="66">
        <f>SUM(D24:D30)</f>
        <v>223622.96599999999</v>
      </c>
      <c r="E32" s="274">
        <f t="shared" si="1"/>
        <v>3239.9640395130696</v>
      </c>
      <c r="F32" s="66">
        <f>SUM(F24:F30)</f>
        <v>1200000</v>
      </c>
      <c r="G32" s="274">
        <f t="shared" si="2"/>
        <v>17386.214470546303</v>
      </c>
      <c r="I32"/>
      <c r="R32" s="87"/>
      <c r="S32" s="87"/>
    </row>
    <row r="33" spans="3:19" x14ac:dyDescent="0.25">
      <c r="C33" s="283" t="s">
        <v>70</v>
      </c>
      <c r="D33" s="284">
        <f>SUM(D32+D22+D19)</f>
        <v>231422.96599999999</v>
      </c>
      <c r="E33" s="285">
        <f t="shared" si="1"/>
        <v>3352.9744335716209</v>
      </c>
      <c r="F33" s="286">
        <f>SUM(F32,F22,F19)</f>
        <v>1760000</v>
      </c>
      <c r="G33" s="285">
        <f t="shared" si="2"/>
        <v>25499.781223467911</v>
      </c>
      <c r="I33" s="287"/>
      <c r="R33" s="87"/>
      <c r="S33" s="87"/>
    </row>
    <row r="34" spans="3:19" ht="15.75" x14ac:dyDescent="0.25">
      <c r="F34" s="601">
        <v>100000</v>
      </c>
      <c r="G34" s="601"/>
      <c r="I34" s="287"/>
      <c r="S34" s="87"/>
    </row>
    <row r="35" spans="3:19" ht="15.75" x14ac:dyDescent="0.25">
      <c r="C35" s="602"/>
      <c r="D35" s="602"/>
      <c r="E35" s="288"/>
      <c r="F35" s="601">
        <v>1000000</v>
      </c>
      <c r="G35" s="601"/>
      <c r="I35" s="287"/>
    </row>
    <row r="36" spans="3:19" x14ac:dyDescent="0.25">
      <c r="C36" s="87"/>
      <c r="I36" s="289"/>
    </row>
    <row r="37" spans="3:19" x14ac:dyDescent="0.25">
      <c r="I37"/>
    </row>
    <row r="38" spans="3:19" x14ac:dyDescent="0.25">
      <c r="C38" s="290" t="s">
        <v>228</v>
      </c>
      <c r="D38" s="291" t="s">
        <v>229</v>
      </c>
      <c r="E38" s="269" t="s">
        <v>83</v>
      </c>
      <c r="F38" s="117" t="s">
        <v>207</v>
      </c>
      <c r="I38" s="289"/>
    </row>
    <row r="39" spans="3:19" x14ac:dyDescent="0.25">
      <c r="C39" s="268" t="s">
        <v>230</v>
      </c>
      <c r="D39" s="117">
        <f>1500+4000+1500</f>
        <v>7000</v>
      </c>
      <c r="E39" s="269">
        <v>12000</v>
      </c>
      <c r="F39" s="117">
        <f>E39-D39</f>
        <v>5000</v>
      </c>
      <c r="I39" s="289"/>
    </row>
    <row r="40" spans="3:19" x14ac:dyDescent="0.25">
      <c r="C40" s="268" t="s">
        <v>231</v>
      </c>
      <c r="D40" s="117">
        <v>1500</v>
      </c>
      <c r="E40" s="269">
        <v>3072</v>
      </c>
      <c r="F40" s="117">
        <f>E40-D40</f>
        <v>1572</v>
      </c>
      <c r="I40" s="289"/>
    </row>
    <row r="41" spans="3:19" x14ac:dyDescent="0.25">
      <c r="C41" s="290" t="s">
        <v>232</v>
      </c>
      <c r="D41" s="117">
        <v>5000</v>
      </c>
      <c r="E41" s="269">
        <v>45000</v>
      </c>
      <c r="F41" s="117">
        <f>E41-D41</f>
        <v>40000</v>
      </c>
      <c r="I41" s="289"/>
    </row>
    <row r="42" spans="3:19" x14ac:dyDescent="0.25">
      <c r="I42" s="289"/>
    </row>
    <row r="43" spans="3:19" x14ac:dyDescent="0.25">
      <c r="I43" s="289"/>
    </row>
    <row r="44" spans="3:19" x14ac:dyDescent="0.25">
      <c r="I44" s="289"/>
    </row>
    <row r="54" spans="10:10" x14ac:dyDescent="0.25">
      <c r="J54" s="87"/>
    </row>
    <row r="62" spans="10:10" ht="15" customHeight="1" x14ac:dyDescent="0.25"/>
  </sheetData>
  <mergeCells count="8">
    <mergeCell ref="Q23:S23"/>
    <mergeCell ref="F34:G34"/>
    <mergeCell ref="C35:D35"/>
    <mergeCell ref="F35:G35"/>
    <mergeCell ref="C2:C4"/>
    <mergeCell ref="D3:E3"/>
    <mergeCell ref="F3:G3"/>
    <mergeCell ref="C10:G10"/>
  </mergeCells>
  <pageMargins left="0.7" right="0.7" top="0.75" bottom="0.75" header="0.3" footer="0.3"/>
  <pageSetup paperSize="9" firstPageNumber="4294967295" orientation="portrait" verticalDpi="0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D3:F12"/>
  <sheetViews>
    <sheetView zoomScale="90" workbookViewId="0">
      <selection activeCell="K6" sqref="K6"/>
    </sheetView>
  </sheetViews>
  <sheetFormatPr defaultRowHeight="15" x14ac:dyDescent="0.25"/>
  <cols>
    <col min="4" max="4" width="24" customWidth="1"/>
    <col min="5" max="5" width="23.28515625" customWidth="1"/>
    <col min="6" max="6" width="12.28515625" bestFit="1" customWidth="1"/>
  </cols>
  <sheetData>
    <row r="3" spans="4:6" x14ac:dyDescent="0.25">
      <c r="D3" s="611" t="s">
        <v>278</v>
      </c>
      <c r="E3" s="611"/>
      <c r="F3" s="611"/>
    </row>
    <row r="4" spans="4:6" x14ac:dyDescent="0.25">
      <c r="D4" s="217" t="s">
        <v>279</v>
      </c>
      <c r="E4" s="217" t="s">
        <v>280</v>
      </c>
      <c r="F4" s="217" t="s">
        <v>281</v>
      </c>
    </row>
    <row r="5" spans="4:6" x14ac:dyDescent="0.25">
      <c r="D5" s="87" t="s">
        <v>282</v>
      </c>
      <c r="E5" s="600" t="s">
        <v>283</v>
      </c>
      <c r="F5" s="600"/>
    </row>
    <row r="6" spans="4:6" ht="45" x14ac:dyDescent="0.25">
      <c r="D6" s="87" t="s">
        <v>284</v>
      </c>
      <c r="E6" s="342" t="s">
        <v>285</v>
      </c>
      <c r="F6" s="342" t="s">
        <v>286</v>
      </c>
    </row>
    <row r="7" spans="4:6" ht="30" x14ac:dyDescent="0.25">
      <c r="D7" s="87" t="s">
        <v>287</v>
      </c>
      <c r="E7" s="87" t="s">
        <v>288</v>
      </c>
      <c r="F7" s="342" t="s">
        <v>289</v>
      </c>
    </row>
    <row r="8" spans="4:6" ht="30" x14ac:dyDescent="0.25">
      <c r="D8" s="342" t="s">
        <v>290</v>
      </c>
      <c r="E8" s="87" t="s">
        <v>291</v>
      </c>
    </row>
    <row r="9" spans="4:6" ht="75" x14ac:dyDescent="0.25">
      <c r="D9" s="87"/>
      <c r="E9" s="342" t="s">
        <v>292</v>
      </c>
    </row>
    <row r="10" spans="4:6" ht="45" x14ac:dyDescent="0.25">
      <c r="E10" s="342" t="s">
        <v>293</v>
      </c>
    </row>
    <row r="11" spans="4:6" ht="30" x14ac:dyDescent="0.25">
      <c r="E11" s="342" t="s">
        <v>294</v>
      </c>
    </row>
    <row r="12" spans="4:6" x14ac:dyDescent="0.25">
      <c r="E12" s="342" t="s">
        <v>295</v>
      </c>
    </row>
  </sheetData>
  <mergeCells count="2">
    <mergeCell ref="D3:F3"/>
    <mergeCell ref="E5:F5"/>
  </mergeCells>
  <pageMargins left="0.7" right="0.7" top="0.75" bottom="0.75" header="0.3" footer="0.3"/>
  <pageSetup paperSize="9" firstPageNumber="4294967295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</sheetPr>
  <dimension ref="A1:AP84"/>
  <sheetViews>
    <sheetView showGridLines="0" topLeftCell="A10" zoomScale="80" workbookViewId="0">
      <selection activeCell="P42" sqref="P42:R42"/>
    </sheetView>
  </sheetViews>
  <sheetFormatPr defaultRowHeight="15" x14ac:dyDescent="0.25"/>
  <cols>
    <col min="2" max="3" width="10.7109375" style="87" customWidth="1"/>
    <col min="4" max="4" width="9.5703125" style="343" customWidth="1"/>
    <col min="5" max="5" width="7.140625" style="87" customWidth="1"/>
    <col min="6" max="6" width="10.7109375" style="87" customWidth="1"/>
    <col min="7" max="7" width="8.85546875" style="343" customWidth="1"/>
    <col min="8" max="8" width="7.140625" style="87" customWidth="1"/>
    <col min="9" max="9" width="10.7109375" style="87" customWidth="1"/>
    <col min="10" max="10" width="7.28515625" style="343" customWidth="1"/>
    <col min="11" max="11" width="7.140625" style="87" customWidth="1"/>
    <col min="12" max="12" width="10.7109375" style="87" customWidth="1"/>
    <col min="13" max="13" width="7.28515625" style="343" customWidth="1"/>
    <col min="14" max="14" width="7.140625" style="87" customWidth="1"/>
    <col min="15" max="15" width="10.7109375" style="87" customWidth="1"/>
    <col min="16" max="16" width="7.28515625" style="343" customWidth="1"/>
    <col min="17" max="17" width="10.28515625" style="87" bestFit="1" customWidth="1"/>
    <col min="18" max="18" width="10.7109375" style="87" customWidth="1"/>
    <col min="19" max="19" width="7.28515625" style="344" customWidth="1"/>
    <col min="20" max="20" width="9.140625" style="87"/>
    <col min="21" max="21" width="10.7109375" style="87" customWidth="1"/>
    <col min="22" max="22" width="7.28515625" style="344" customWidth="1"/>
    <col min="23" max="23" width="7.140625" customWidth="1"/>
    <col min="24" max="24" width="10.7109375" customWidth="1"/>
    <col min="25" max="25" width="7.28515625" style="344" customWidth="1"/>
    <col min="26" max="26" width="7.140625" customWidth="1"/>
    <col min="27" max="27" width="10.7109375" customWidth="1"/>
    <col min="28" max="28" width="7.28515625" style="344" customWidth="1"/>
    <col min="29" max="29" width="7.140625" customWidth="1"/>
    <col min="30" max="30" width="10.7109375" customWidth="1"/>
    <col min="31" max="31" width="7.28515625" style="344" customWidth="1"/>
    <col min="32" max="32" width="7.140625" customWidth="1"/>
    <col min="33" max="33" width="10.7109375" customWidth="1"/>
    <col min="34" max="34" width="7.28515625" style="344" customWidth="1"/>
    <col min="35" max="35" width="7.140625" customWidth="1"/>
    <col min="36" max="36" width="10.7109375" customWidth="1"/>
    <col min="37" max="37" width="7.28515625" style="344" customWidth="1"/>
    <col min="39" max="39" width="10.7109375" customWidth="1"/>
    <col min="40" max="40" width="7.28515625" customWidth="1"/>
    <col min="41" max="41" width="14.42578125" customWidth="1"/>
  </cols>
  <sheetData>
    <row r="1" spans="2:41" x14ac:dyDescent="0.25">
      <c r="AO1" s="345"/>
    </row>
    <row r="2" spans="2:41" ht="33" customHeight="1" x14ac:dyDescent="0.25">
      <c r="B2" s="346" t="s">
        <v>296</v>
      </c>
      <c r="C2" s="346" t="s">
        <v>87</v>
      </c>
      <c r="D2" s="347" t="s">
        <v>297</v>
      </c>
      <c r="E2" s="348" t="s">
        <v>296</v>
      </c>
      <c r="F2" s="348" t="s">
        <v>87</v>
      </c>
      <c r="G2" s="347" t="s">
        <v>297</v>
      </c>
      <c r="H2" s="349" t="s">
        <v>296</v>
      </c>
      <c r="I2" s="349" t="s">
        <v>87</v>
      </c>
      <c r="J2" s="347" t="s">
        <v>297</v>
      </c>
      <c r="K2" s="350" t="s">
        <v>296</v>
      </c>
      <c r="L2" s="350" t="s">
        <v>87</v>
      </c>
      <c r="M2" s="347" t="s">
        <v>297</v>
      </c>
      <c r="N2" s="351" t="s">
        <v>296</v>
      </c>
      <c r="O2" s="351" t="s">
        <v>87</v>
      </c>
      <c r="P2" s="347" t="s">
        <v>297</v>
      </c>
      <c r="Q2" s="352" t="s">
        <v>296</v>
      </c>
      <c r="R2" s="352" t="s">
        <v>87</v>
      </c>
      <c r="S2" s="347" t="s">
        <v>297</v>
      </c>
      <c r="T2" s="353" t="s">
        <v>296</v>
      </c>
      <c r="U2" s="353" t="s">
        <v>87</v>
      </c>
      <c r="V2" s="347" t="s">
        <v>297</v>
      </c>
      <c r="W2" s="354" t="s">
        <v>296</v>
      </c>
      <c r="X2" s="354" t="s">
        <v>87</v>
      </c>
      <c r="Y2" s="347" t="s">
        <v>297</v>
      </c>
      <c r="Z2" s="355" t="s">
        <v>296</v>
      </c>
      <c r="AA2" s="355" t="s">
        <v>87</v>
      </c>
      <c r="AB2" s="347" t="s">
        <v>297</v>
      </c>
      <c r="AC2" s="356" t="s">
        <v>296</v>
      </c>
      <c r="AD2" s="356" t="s">
        <v>87</v>
      </c>
      <c r="AE2" s="347" t="s">
        <v>297</v>
      </c>
      <c r="AF2" s="346" t="s">
        <v>296</v>
      </c>
      <c r="AG2" s="346" t="s">
        <v>87</v>
      </c>
      <c r="AH2" s="347" t="s">
        <v>297</v>
      </c>
      <c r="AI2" s="348" t="s">
        <v>296</v>
      </c>
      <c r="AJ2" s="348" t="s">
        <v>87</v>
      </c>
      <c r="AK2" s="347" t="s">
        <v>297</v>
      </c>
      <c r="AL2" s="349" t="s">
        <v>296</v>
      </c>
      <c r="AM2" s="357" t="s">
        <v>87</v>
      </c>
      <c r="AN2" s="358" t="s">
        <v>297</v>
      </c>
      <c r="AO2" s="359" t="s">
        <v>298</v>
      </c>
    </row>
    <row r="3" spans="2:41" ht="15" customHeight="1" x14ac:dyDescent="0.25">
      <c r="B3" s="360">
        <v>1</v>
      </c>
      <c r="C3" s="361">
        <v>44667</v>
      </c>
      <c r="D3" s="270">
        <f>141+30</f>
        <v>171</v>
      </c>
      <c r="E3" s="362">
        <v>31</v>
      </c>
      <c r="F3" s="363">
        <v>44697</v>
      </c>
      <c r="G3" s="270">
        <f>630+52</f>
        <v>682</v>
      </c>
      <c r="H3" s="364">
        <v>61</v>
      </c>
      <c r="I3" s="365">
        <v>44727</v>
      </c>
      <c r="J3" s="270"/>
      <c r="K3" s="366">
        <v>91</v>
      </c>
      <c r="L3" s="367">
        <v>44654</v>
      </c>
      <c r="M3" s="270"/>
      <c r="N3" s="368">
        <v>121</v>
      </c>
      <c r="O3" s="369">
        <v>44684</v>
      </c>
      <c r="P3" s="270"/>
      <c r="Q3" s="370">
        <v>151</v>
      </c>
      <c r="R3" s="371">
        <v>44714</v>
      </c>
      <c r="S3" s="270"/>
      <c r="T3" s="372">
        <v>181</v>
      </c>
      <c r="U3" s="373">
        <v>44471</v>
      </c>
      <c r="V3" s="270"/>
      <c r="W3" s="374">
        <v>211</v>
      </c>
      <c r="X3" s="375">
        <v>44501</v>
      </c>
      <c r="Y3" s="270"/>
      <c r="Z3" s="376">
        <v>241</v>
      </c>
      <c r="AA3" s="377">
        <v>44531</v>
      </c>
      <c r="AB3" s="270"/>
      <c r="AC3" s="378">
        <v>271</v>
      </c>
      <c r="AD3" s="379">
        <v>44561</v>
      </c>
      <c r="AE3" s="270"/>
      <c r="AF3" s="380">
        <v>301</v>
      </c>
      <c r="AG3" s="361">
        <v>44591</v>
      </c>
      <c r="AH3" s="270"/>
      <c r="AI3" s="362">
        <v>331</v>
      </c>
      <c r="AJ3" s="363">
        <v>44621</v>
      </c>
      <c r="AK3" s="270"/>
      <c r="AL3" s="364">
        <v>361</v>
      </c>
      <c r="AM3" s="365">
        <v>44651</v>
      </c>
      <c r="AN3" s="270"/>
      <c r="AO3" s="381"/>
    </row>
    <row r="4" spans="2:41" ht="15" customHeight="1" x14ac:dyDescent="0.25">
      <c r="B4" s="382">
        <v>2</v>
      </c>
      <c r="C4" s="361">
        <v>44668</v>
      </c>
      <c r="D4" s="270">
        <v>34</v>
      </c>
      <c r="E4" s="383">
        <v>32</v>
      </c>
      <c r="F4" s="363">
        <v>44698</v>
      </c>
      <c r="G4" s="117">
        <v>54</v>
      </c>
      <c r="H4" s="384">
        <v>62</v>
      </c>
      <c r="I4" s="365">
        <v>44728</v>
      </c>
      <c r="J4" s="117"/>
      <c r="K4" s="385">
        <v>92</v>
      </c>
      <c r="L4" s="367">
        <v>44655</v>
      </c>
      <c r="M4" s="386"/>
      <c r="N4" s="387">
        <v>122</v>
      </c>
      <c r="O4" s="369">
        <v>44685</v>
      </c>
      <c r="P4" s="117"/>
      <c r="Q4" s="388">
        <v>152</v>
      </c>
      <c r="R4" s="371">
        <v>44715</v>
      </c>
      <c r="S4" s="117"/>
      <c r="T4" s="389">
        <v>182</v>
      </c>
      <c r="U4" s="373">
        <v>44472</v>
      </c>
      <c r="V4" s="270"/>
      <c r="W4" s="390">
        <v>212</v>
      </c>
      <c r="X4" s="375">
        <v>44502</v>
      </c>
      <c r="Y4" s="117"/>
      <c r="Z4" s="391">
        <v>242</v>
      </c>
      <c r="AA4" s="377">
        <v>44532</v>
      </c>
      <c r="AB4" s="117"/>
      <c r="AC4" s="392">
        <v>272</v>
      </c>
      <c r="AD4" s="379">
        <v>44562</v>
      </c>
      <c r="AE4" s="117"/>
      <c r="AF4" s="393">
        <v>302</v>
      </c>
      <c r="AG4" s="361">
        <v>44592</v>
      </c>
      <c r="AH4" s="270"/>
      <c r="AI4" s="383">
        <v>332</v>
      </c>
      <c r="AJ4" s="363">
        <v>44622</v>
      </c>
      <c r="AK4" s="117"/>
      <c r="AL4" s="384">
        <v>362</v>
      </c>
      <c r="AM4" s="365">
        <v>44652</v>
      </c>
      <c r="AN4" s="117"/>
      <c r="AO4" s="394"/>
    </row>
    <row r="5" spans="2:41" ht="15" customHeight="1" x14ac:dyDescent="0.25">
      <c r="B5" s="382">
        <v>3</v>
      </c>
      <c r="C5" s="361">
        <v>44669</v>
      </c>
      <c r="D5" s="270">
        <v>38</v>
      </c>
      <c r="E5" s="383">
        <v>33</v>
      </c>
      <c r="F5" s="363">
        <v>44699</v>
      </c>
      <c r="G5" s="117">
        <v>56</v>
      </c>
      <c r="H5" s="384">
        <v>63</v>
      </c>
      <c r="I5" s="365">
        <v>44729</v>
      </c>
      <c r="J5" s="117"/>
      <c r="K5" s="385">
        <v>93</v>
      </c>
      <c r="L5" s="367">
        <v>44656</v>
      </c>
      <c r="M5" s="117"/>
      <c r="N5" s="387">
        <v>123</v>
      </c>
      <c r="O5" s="369">
        <v>44686</v>
      </c>
      <c r="P5" s="117"/>
      <c r="Q5" s="388">
        <v>153</v>
      </c>
      <c r="R5" s="371">
        <v>44716</v>
      </c>
      <c r="S5" s="270"/>
      <c r="T5" s="389">
        <v>183</v>
      </c>
      <c r="U5" s="373">
        <v>44473</v>
      </c>
      <c r="V5" s="270"/>
      <c r="W5" s="374">
        <v>213</v>
      </c>
      <c r="X5" s="375">
        <v>44503</v>
      </c>
      <c r="Y5" s="270"/>
      <c r="Z5" s="391">
        <v>243</v>
      </c>
      <c r="AA5" s="377">
        <v>44533</v>
      </c>
      <c r="AB5" s="117"/>
      <c r="AC5" s="392">
        <v>273</v>
      </c>
      <c r="AD5" s="379">
        <v>44563</v>
      </c>
      <c r="AE5" s="117"/>
      <c r="AF5" s="380">
        <v>303</v>
      </c>
      <c r="AG5" s="361">
        <v>44593</v>
      </c>
      <c r="AH5" s="270"/>
      <c r="AI5" s="362">
        <v>333</v>
      </c>
      <c r="AJ5" s="363">
        <v>44623</v>
      </c>
      <c r="AK5" s="117"/>
      <c r="AL5" s="364">
        <v>363</v>
      </c>
      <c r="AM5" s="365">
        <v>44653</v>
      </c>
      <c r="AN5" s="117"/>
      <c r="AO5" s="394"/>
    </row>
    <row r="6" spans="2:41" ht="15" customHeight="1" x14ac:dyDescent="0.25">
      <c r="B6" s="382">
        <v>4</v>
      </c>
      <c r="C6" s="361">
        <v>44670</v>
      </c>
      <c r="D6" s="270">
        <v>40</v>
      </c>
      <c r="E6" s="383">
        <v>34</v>
      </c>
      <c r="F6" s="363">
        <v>44700</v>
      </c>
      <c r="G6" s="117">
        <v>58</v>
      </c>
      <c r="H6" s="384">
        <v>64</v>
      </c>
      <c r="I6" s="365">
        <v>44730</v>
      </c>
      <c r="J6" s="117"/>
      <c r="K6" s="385">
        <v>94</v>
      </c>
      <c r="L6" s="367">
        <v>44657</v>
      </c>
      <c r="M6" s="117"/>
      <c r="N6" s="387">
        <v>124</v>
      </c>
      <c r="O6" s="369">
        <v>44687</v>
      </c>
      <c r="P6" s="117"/>
      <c r="Q6" s="388">
        <v>154</v>
      </c>
      <c r="R6" s="371">
        <v>44717</v>
      </c>
      <c r="S6" s="117"/>
      <c r="T6" s="389">
        <v>184</v>
      </c>
      <c r="U6" s="373">
        <v>44474</v>
      </c>
      <c r="V6" s="386"/>
      <c r="W6" s="390">
        <v>214</v>
      </c>
      <c r="X6" s="375">
        <v>44504</v>
      </c>
      <c r="Y6" s="117"/>
      <c r="Z6" s="391">
        <v>244</v>
      </c>
      <c r="AA6" s="377">
        <v>44534</v>
      </c>
      <c r="AB6" s="117"/>
      <c r="AC6" s="392">
        <v>274</v>
      </c>
      <c r="AD6" s="379">
        <v>44564</v>
      </c>
      <c r="AE6" s="117"/>
      <c r="AF6" s="393">
        <v>304</v>
      </c>
      <c r="AG6" s="361">
        <v>44594</v>
      </c>
      <c r="AH6" s="270"/>
      <c r="AI6" s="383">
        <v>334</v>
      </c>
      <c r="AJ6" s="363">
        <v>44624</v>
      </c>
      <c r="AK6" s="117"/>
      <c r="AL6" s="384">
        <v>364</v>
      </c>
      <c r="AM6" s="365">
        <v>44654</v>
      </c>
      <c r="AN6" s="117"/>
      <c r="AO6" s="394"/>
    </row>
    <row r="7" spans="2:41" ht="15" customHeight="1" x14ac:dyDescent="0.25">
      <c r="B7" s="382">
        <v>5</v>
      </c>
      <c r="C7" s="361">
        <v>44671</v>
      </c>
      <c r="D7" s="270">
        <v>42</v>
      </c>
      <c r="E7" s="383">
        <v>35</v>
      </c>
      <c r="F7" s="363">
        <v>44701</v>
      </c>
      <c r="G7" s="117">
        <v>60</v>
      </c>
      <c r="H7" s="384">
        <v>65</v>
      </c>
      <c r="I7" s="365">
        <v>44731</v>
      </c>
      <c r="J7" s="117"/>
      <c r="K7" s="385">
        <v>95</v>
      </c>
      <c r="L7" s="367">
        <v>44658</v>
      </c>
      <c r="M7" s="117"/>
      <c r="N7" s="387">
        <v>125</v>
      </c>
      <c r="O7" s="369">
        <v>44688</v>
      </c>
      <c r="P7" s="117"/>
      <c r="Q7" s="388">
        <v>155</v>
      </c>
      <c r="R7" s="371">
        <v>44718</v>
      </c>
      <c r="S7" s="270"/>
      <c r="T7" s="389">
        <v>185</v>
      </c>
      <c r="U7" s="373">
        <v>44475</v>
      </c>
      <c r="V7" s="117"/>
      <c r="W7" s="374">
        <v>215</v>
      </c>
      <c r="X7" s="375">
        <v>44505</v>
      </c>
      <c r="Y7" s="270"/>
      <c r="Z7" s="391">
        <v>245</v>
      </c>
      <c r="AA7" s="377">
        <v>44535</v>
      </c>
      <c r="AB7" s="117"/>
      <c r="AC7" s="392">
        <v>275</v>
      </c>
      <c r="AD7" s="379">
        <v>44565</v>
      </c>
      <c r="AE7" s="117"/>
      <c r="AF7" s="380">
        <v>305</v>
      </c>
      <c r="AG7" s="361">
        <v>44595</v>
      </c>
      <c r="AH7" s="270"/>
      <c r="AI7" s="362">
        <v>335</v>
      </c>
      <c r="AJ7" s="363">
        <v>44625</v>
      </c>
      <c r="AK7" s="117"/>
      <c r="AL7" s="364">
        <v>365</v>
      </c>
      <c r="AM7" s="365">
        <v>44655</v>
      </c>
      <c r="AN7" s="117"/>
      <c r="AO7" s="394"/>
    </row>
    <row r="8" spans="2:41" ht="15" customHeight="1" x14ac:dyDescent="0.25">
      <c r="B8" s="382">
        <v>6</v>
      </c>
      <c r="C8" s="361">
        <v>44672</v>
      </c>
      <c r="D8" s="270">
        <v>44</v>
      </c>
      <c r="E8" s="383">
        <v>36</v>
      </c>
      <c r="F8" s="363">
        <v>44702</v>
      </c>
      <c r="G8" s="117">
        <v>62</v>
      </c>
      <c r="H8" s="384">
        <v>66</v>
      </c>
      <c r="I8" s="365">
        <v>44732</v>
      </c>
      <c r="J8" s="117"/>
      <c r="K8" s="385">
        <v>96</v>
      </c>
      <c r="L8" s="367">
        <v>44659</v>
      </c>
      <c r="M8" s="117"/>
      <c r="N8" s="387">
        <v>126</v>
      </c>
      <c r="O8" s="369">
        <v>44689</v>
      </c>
      <c r="P8" s="117"/>
      <c r="Q8" s="388">
        <v>156</v>
      </c>
      <c r="R8" s="371">
        <v>44719</v>
      </c>
      <c r="S8" s="117"/>
      <c r="T8" s="389">
        <v>186</v>
      </c>
      <c r="U8" s="373">
        <v>44476</v>
      </c>
      <c r="V8" s="117"/>
      <c r="W8" s="390">
        <v>216</v>
      </c>
      <c r="X8" s="375">
        <v>44506</v>
      </c>
      <c r="Y8" s="117"/>
      <c r="Z8" s="391">
        <v>246</v>
      </c>
      <c r="AA8" s="377">
        <v>44536</v>
      </c>
      <c r="AB8" s="117"/>
      <c r="AC8" s="392">
        <v>276</v>
      </c>
      <c r="AD8" s="379">
        <v>44566</v>
      </c>
      <c r="AE8" s="117"/>
      <c r="AF8" s="393">
        <v>306</v>
      </c>
      <c r="AG8" s="361">
        <v>44596</v>
      </c>
      <c r="AH8" s="270"/>
      <c r="AI8" s="383">
        <v>336</v>
      </c>
      <c r="AJ8" s="363">
        <v>44626</v>
      </c>
      <c r="AK8" s="117"/>
      <c r="AL8" s="395"/>
      <c r="AM8" s="396"/>
      <c r="AN8" s="397"/>
      <c r="AO8" s="394"/>
    </row>
    <row r="9" spans="2:41" ht="15" customHeight="1" x14ac:dyDescent="0.25">
      <c r="B9" s="382">
        <v>7</v>
      </c>
      <c r="C9" s="361">
        <v>44673</v>
      </c>
      <c r="D9" s="270">
        <v>46</v>
      </c>
      <c r="E9" s="383">
        <v>37</v>
      </c>
      <c r="F9" s="363">
        <v>44703</v>
      </c>
      <c r="G9" s="117"/>
      <c r="H9" s="384">
        <v>67</v>
      </c>
      <c r="I9" s="365">
        <v>44733</v>
      </c>
      <c r="J9" s="117"/>
      <c r="K9" s="385">
        <v>97</v>
      </c>
      <c r="L9" s="367">
        <v>44660</v>
      </c>
      <c r="M9" s="117"/>
      <c r="N9" s="387">
        <v>127</v>
      </c>
      <c r="O9" s="369">
        <v>44690</v>
      </c>
      <c r="P9" s="117"/>
      <c r="Q9" s="388">
        <v>157</v>
      </c>
      <c r="R9" s="371">
        <v>44720</v>
      </c>
      <c r="S9" s="270"/>
      <c r="T9" s="389">
        <v>187</v>
      </c>
      <c r="U9" s="373">
        <v>44477</v>
      </c>
      <c r="V9" s="117"/>
      <c r="W9" s="374">
        <v>217</v>
      </c>
      <c r="X9" s="375">
        <v>44507</v>
      </c>
      <c r="Y9" s="270"/>
      <c r="Z9" s="391">
        <v>247</v>
      </c>
      <c r="AA9" s="377">
        <v>44537</v>
      </c>
      <c r="AB9" s="117"/>
      <c r="AC9" s="392">
        <v>277</v>
      </c>
      <c r="AD9" s="379">
        <v>44567</v>
      </c>
      <c r="AE9" s="117"/>
      <c r="AF9" s="380">
        <v>307</v>
      </c>
      <c r="AG9" s="361">
        <v>44597</v>
      </c>
      <c r="AH9" s="270"/>
      <c r="AI9" s="362">
        <v>337</v>
      </c>
      <c r="AJ9" s="363">
        <v>44627</v>
      </c>
      <c r="AK9" s="117"/>
      <c r="AL9" s="398"/>
      <c r="AM9" s="399"/>
      <c r="AN9" s="400"/>
      <c r="AO9" s="394"/>
    </row>
    <row r="10" spans="2:41" ht="15" customHeight="1" x14ac:dyDescent="0.25">
      <c r="B10" s="382">
        <v>8</v>
      </c>
      <c r="C10" s="361">
        <v>44674</v>
      </c>
      <c r="D10" s="270">
        <v>48</v>
      </c>
      <c r="E10" s="383">
        <v>38</v>
      </c>
      <c r="F10" s="363">
        <v>44704</v>
      </c>
      <c r="G10" s="117"/>
      <c r="H10" s="384">
        <v>68</v>
      </c>
      <c r="I10" s="365">
        <v>44734</v>
      </c>
      <c r="J10" s="117"/>
      <c r="K10" s="385">
        <v>98</v>
      </c>
      <c r="L10" s="367">
        <v>44661</v>
      </c>
      <c r="M10" s="117"/>
      <c r="N10" s="387">
        <v>128</v>
      </c>
      <c r="O10" s="369">
        <v>44691</v>
      </c>
      <c r="P10" s="117"/>
      <c r="Q10" s="388">
        <v>158</v>
      </c>
      <c r="R10" s="371">
        <v>44721</v>
      </c>
      <c r="S10" s="117"/>
      <c r="T10" s="389">
        <v>188</v>
      </c>
      <c r="U10" s="373">
        <v>44478</v>
      </c>
      <c r="V10" s="117"/>
      <c r="W10" s="390">
        <v>218</v>
      </c>
      <c r="X10" s="375">
        <v>44508</v>
      </c>
      <c r="Y10" s="117"/>
      <c r="Z10" s="391">
        <v>248</v>
      </c>
      <c r="AA10" s="377">
        <v>44538</v>
      </c>
      <c r="AB10" s="117"/>
      <c r="AC10" s="392">
        <v>278</v>
      </c>
      <c r="AD10" s="379">
        <v>44568</v>
      </c>
      <c r="AE10" s="117"/>
      <c r="AF10" s="393">
        <v>308</v>
      </c>
      <c r="AG10" s="361">
        <v>44598</v>
      </c>
      <c r="AH10" s="270"/>
      <c r="AI10" s="383">
        <v>338</v>
      </c>
      <c r="AJ10" s="363">
        <v>44628</v>
      </c>
      <c r="AK10" s="117"/>
      <c r="AL10" s="398"/>
      <c r="AM10" s="399"/>
      <c r="AN10" s="400"/>
      <c r="AO10" s="394"/>
    </row>
    <row r="11" spans="2:41" ht="15" customHeight="1" x14ac:dyDescent="0.25">
      <c r="B11" s="382">
        <v>9</v>
      </c>
      <c r="C11" s="361">
        <v>44675</v>
      </c>
      <c r="D11" s="270">
        <v>50</v>
      </c>
      <c r="E11" s="383">
        <v>39</v>
      </c>
      <c r="F11" s="363">
        <v>44705</v>
      </c>
      <c r="G11" s="117">
        <v>46</v>
      </c>
      <c r="H11" s="384">
        <v>69</v>
      </c>
      <c r="I11" s="365">
        <v>44735</v>
      </c>
      <c r="J11" s="117"/>
      <c r="K11" s="385">
        <v>99</v>
      </c>
      <c r="L11" s="367">
        <v>44662</v>
      </c>
      <c r="M11" s="117"/>
      <c r="N11" s="387">
        <v>129</v>
      </c>
      <c r="O11" s="369">
        <v>44692</v>
      </c>
      <c r="P11" s="117"/>
      <c r="Q11" s="388">
        <v>159</v>
      </c>
      <c r="R11" s="371">
        <v>44722</v>
      </c>
      <c r="S11" s="270"/>
      <c r="T11" s="389">
        <v>189</v>
      </c>
      <c r="U11" s="373">
        <v>44479</v>
      </c>
      <c r="V11" s="117"/>
      <c r="W11" s="374">
        <v>219</v>
      </c>
      <c r="X11" s="375">
        <v>44509</v>
      </c>
      <c r="Y11" s="270"/>
      <c r="Z11" s="391">
        <v>249</v>
      </c>
      <c r="AA11" s="377">
        <v>44539</v>
      </c>
      <c r="AB11" s="117"/>
      <c r="AC11" s="392">
        <v>279</v>
      </c>
      <c r="AD11" s="379">
        <v>44569</v>
      </c>
      <c r="AE11" s="117"/>
      <c r="AF11" s="380">
        <v>309</v>
      </c>
      <c r="AG11" s="361">
        <v>44599</v>
      </c>
      <c r="AH11" s="270"/>
      <c r="AI11" s="362">
        <v>339</v>
      </c>
      <c r="AJ11" s="363">
        <v>44629</v>
      </c>
      <c r="AK11" s="117"/>
      <c r="AL11" s="398"/>
      <c r="AM11" s="399"/>
      <c r="AN11" s="400"/>
      <c r="AO11" s="394"/>
    </row>
    <row r="12" spans="2:41" ht="15" customHeight="1" x14ac:dyDescent="0.25">
      <c r="B12" s="382">
        <v>10</v>
      </c>
      <c r="C12" s="361">
        <v>44676</v>
      </c>
      <c r="D12" s="270">
        <v>52</v>
      </c>
      <c r="E12" s="383">
        <v>40</v>
      </c>
      <c r="F12" s="363">
        <v>44706</v>
      </c>
      <c r="G12" s="117"/>
      <c r="H12" s="384">
        <v>70</v>
      </c>
      <c r="I12" s="365">
        <v>44736</v>
      </c>
      <c r="J12" s="117"/>
      <c r="K12" s="385">
        <v>100</v>
      </c>
      <c r="L12" s="367">
        <v>44663</v>
      </c>
      <c r="M12" s="117"/>
      <c r="N12" s="387">
        <v>130</v>
      </c>
      <c r="O12" s="369">
        <v>44693</v>
      </c>
      <c r="P12" s="117"/>
      <c r="Q12" s="388">
        <v>160</v>
      </c>
      <c r="R12" s="371">
        <v>44723</v>
      </c>
      <c r="S12" s="117"/>
      <c r="T12" s="389">
        <v>190</v>
      </c>
      <c r="U12" s="373">
        <v>44480</v>
      </c>
      <c r="V12" s="117"/>
      <c r="W12" s="390">
        <v>220</v>
      </c>
      <c r="X12" s="375">
        <v>44510</v>
      </c>
      <c r="Y12" s="117"/>
      <c r="Z12" s="391">
        <v>250</v>
      </c>
      <c r="AA12" s="377">
        <v>44540</v>
      </c>
      <c r="AB12" s="117"/>
      <c r="AC12" s="392">
        <v>280</v>
      </c>
      <c r="AD12" s="379">
        <v>44570</v>
      </c>
      <c r="AE12" s="117"/>
      <c r="AF12" s="393">
        <v>310</v>
      </c>
      <c r="AG12" s="361">
        <v>44600</v>
      </c>
      <c r="AH12" s="270"/>
      <c r="AI12" s="383">
        <v>340</v>
      </c>
      <c r="AJ12" s="363">
        <v>44630</v>
      </c>
      <c r="AK12" s="117"/>
      <c r="AL12" s="398"/>
      <c r="AM12" s="399"/>
      <c r="AN12" s="400"/>
      <c r="AO12" s="394"/>
    </row>
    <row r="13" spans="2:41" ht="15" customHeight="1" x14ac:dyDescent="0.25">
      <c r="B13" s="382">
        <v>11</v>
      </c>
      <c r="C13" s="361">
        <v>44677</v>
      </c>
      <c r="D13" s="270">
        <v>54</v>
      </c>
      <c r="E13" s="383">
        <v>41</v>
      </c>
      <c r="F13" s="363">
        <v>44707</v>
      </c>
      <c r="G13" s="117"/>
      <c r="H13" s="384">
        <v>71</v>
      </c>
      <c r="I13" s="365">
        <v>44737</v>
      </c>
      <c r="J13" s="117"/>
      <c r="K13" s="385">
        <v>101</v>
      </c>
      <c r="L13" s="367">
        <v>44664</v>
      </c>
      <c r="M13" s="117"/>
      <c r="N13" s="387">
        <v>131</v>
      </c>
      <c r="O13" s="369">
        <v>44694</v>
      </c>
      <c r="P13" s="117"/>
      <c r="Q13" s="388">
        <v>161</v>
      </c>
      <c r="R13" s="371">
        <v>44724</v>
      </c>
      <c r="S13" s="270"/>
      <c r="T13" s="389">
        <v>191</v>
      </c>
      <c r="U13" s="373">
        <v>44481</v>
      </c>
      <c r="V13" s="117"/>
      <c r="W13" s="374">
        <v>221</v>
      </c>
      <c r="X13" s="375">
        <v>44511</v>
      </c>
      <c r="Y13" s="117"/>
      <c r="Z13" s="391">
        <v>251</v>
      </c>
      <c r="AA13" s="377">
        <v>44541</v>
      </c>
      <c r="AB13" s="117"/>
      <c r="AC13" s="392">
        <v>281</v>
      </c>
      <c r="AD13" s="379">
        <v>44571</v>
      </c>
      <c r="AE13" s="117"/>
      <c r="AF13" s="380">
        <v>311</v>
      </c>
      <c r="AG13" s="361">
        <v>44601</v>
      </c>
      <c r="AH13" s="270"/>
      <c r="AI13" s="362">
        <v>341</v>
      </c>
      <c r="AJ13" s="363">
        <v>44631</v>
      </c>
      <c r="AK13" s="117"/>
      <c r="AL13" s="398"/>
      <c r="AM13" s="399"/>
      <c r="AN13" s="400"/>
      <c r="AO13" s="394"/>
    </row>
    <row r="14" spans="2:41" ht="15" customHeight="1" x14ac:dyDescent="0.25">
      <c r="B14" s="382">
        <v>12</v>
      </c>
      <c r="C14" s="361">
        <v>44678</v>
      </c>
      <c r="D14" s="270">
        <v>56</v>
      </c>
      <c r="E14" s="383">
        <v>42</v>
      </c>
      <c r="F14" s="363">
        <v>44708</v>
      </c>
      <c r="G14" s="117"/>
      <c r="H14" s="384">
        <v>72</v>
      </c>
      <c r="I14" s="365">
        <v>44738</v>
      </c>
      <c r="J14" s="117"/>
      <c r="K14" s="385">
        <v>102</v>
      </c>
      <c r="L14" s="367">
        <v>44665</v>
      </c>
      <c r="M14" s="117"/>
      <c r="N14" s="387">
        <v>132</v>
      </c>
      <c r="O14" s="369">
        <v>44695</v>
      </c>
      <c r="P14" s="117"/>
      <c r="Q14" s="388">
        <v>162</v>
      </c>
      <c r="R14" s="371">
        <v>44725</v>
      </c>
      <c r="S14" s="117"/>
      <c r="T14" s="389">
        <v>192</v>
      </c>
      <c r="U14" s="373">
        <v>44482</v>
      </c>
      <c r="V14" s="117"/>
      <c r="W14" s="390">
        <v>222</v>
      </c>
      <c r="X14" s="375">
        <v>44512</v>
      </c>
      <c r="Y14" s="117"/>
      <c r="Z14" s="391">
        <v>252</v>
      </c>
      <c r="AA14" s="377">
        <v>44542</v>
      </c>
      <c r="AB14" s="117"/>
      <c r="AC14" s="392">
        <v>282</v>
      </c>
      <c r="AD14" s="379">
        <v>44572</v>
      </c>
      <c r="AE14" s="117"/>
      <c r="AF14" s="393">
        <v>312</v>
      </c>
      <c r="AG14" s="361">
        <v>44602</v>
      </c>
      <c r="AH14" s="270"/>
      <c r="AI14" s="383">
        <v>342</v>
      </c>
      <c r="AJ14" s="363">
        <v>44632</v>
      </c>
      <c r="AK14" s="117"/>
      <c r="AL14" s="398"/>
      <c r="AM14" s="399"/>
      <c r="AN14" s="400"/>
      <c r="AO14" s="394"/>
    </row>
    <row r="15" spans="2:41" ht="15" customHeight="1" x14ac:dyDescent="0.25">
      <c r="B15" s="382">
        <v>13</v>
      </c>
      <c r="C15" s="361">
        <v>44679</v>
      </c>
      <c r="D15" s="270">
        <v>58</v>
      </c>
      <c r="E15" s="383">
        <v>43</v>
      </c>
      <c r="F15" s="363">
        <v>44709</v>
      </c>
      <c r="G15" s="117"/>
      <c r="H15" s="384">
        <v>73</v>
      </c>
      <c r="I15" s="365">
        <v>44739</v>
      </c>
      <c r="J15" s="117"/>
      <c r="K15" s="385">
        <v>103</v>
      </c>
      <c r="L15" s="367">
        <v>44666</v>
      </c>
      <c r="M15" s="117"/>
      <c r="N15" s="387">
        <v>133</v>
      </c>
      <c r="O15" s="369">
        <v>44696</v>
      </c>
      <c r="P15" s="117"/>
      <c r="Q15" s="388">
        <v>163</v>
      </c>
      <c r="R15" s="371">
        <v>44726</v>
      </c>
      <c r="S15" s="270"/>
      <c r="T15" s="389">
        <v>193</v>
      </c>
      <c r="U15" s="373">
        <v>44483</v>
      </c>
      <c r="V15" s="117"/>
      <c r="W15" s="374">
        <v>223</v>
      </c>
      <c r="X15" s="375">
        <v>44513</v>
      </c>
      <c r="Y15" s="117"/>
      <c r="Z15" s="391">
        <v>253</v>
      </c>
      <c r="AA15" s="377">
        <v>44543</v>
      </c>
      <c r="AB15" s="117"/>
      <c r="AC15" s="392">
        <v>283</v>
      </c>
      <c r="AD15" s="379">
        <v>44573</v>
      </c>
      <c r="AE15" s="117"/>
      <c r="AF15" s="380">
        <v>313</v>
      </c>
      <c r="AG15" s="361">
        <v>44603</v>
      </c>
      <c r="AH15" s="270"/>
      <c r="AI15" s="362">
        <v>343</v>
      </c>
      <c r="AJ15" s="363">
        <v>44633</v>
      </c>
      <c r="AK15" s="117"/>
      <c r="AL15" s="398"/>
      <c r="AM15" s="399"/>
      <c r="AN15" s="400"/>
      <c r="AO15" s="394"/>
    </row>
    <row r="16" spans="2:41" ht="15" customHeight="1" x14ac:dyDescent="0.25">
      <c r="B16" s="382">
        <v>14</v>
      </c>
      <c r="C16" s="361">
        <v>44680</v>
      </c>
      <c r="D16" s="270">
        <v>60</v>
      </c>
      <c r="E16" s="383">
        <v>44</v>
      </c>
      <c r="F16" s="363">
        <v>44710</v>
      </c>
      <c r="G16" s="117"/>
      <c r="H16" s="384">
        <v>74</v>
      </c>
      <c r="I16" s="365">
        <v>44740</v>
      </c>
      <c r="J16" s="117"/>
      <c r="K16" s="385">
        <v>104</v>
      </c>
      <c r="L16" s="367">
        <v>44667</v>
      </c>
      <c r="M16" s="117"/>
      <c r="N16" s="387">
        <v>134</v>
      </c>
      <c r="O16" s="369">
        <v>44697</v>
      </c>
      <c r="P16" s="117"/>
      <c r="Q16" s="388">
        <v>164</v>
      </c>
      <c r="R16" s="371">
        <v>44727</v>
      </c>
      <c r="S16" s="117"/>
      <c r="T16" s="389">
        <v>194</v>
      </c>
      <c r="U16" s="373">
        <v>44484</v>
      </c>
      <c r="V16" s="117"/>
      <c r="W16" s="390">
        <v>224</v>
      </c>
      <c r="X16" s="375">
        <v>44514</v>
      </c>
      <c r="Y16" s="117"/>
      <c r="Z16" s="391">
        <v>254</v>
      </c>
      <c r="AA16" s="377">
        <v>44544</v>
      </c>
      <c r="AB16" s="117"/>
      <c r="AC16" s="392">
        <v>284</v>
      </c>
      <c r="AD16" s="379">
        <v>44574</v>
      </c>
      <c r="AE16" s="117"/>
      <c r="AF16" s="393">
        <v>314</v>
      </c>
      <c r="AG16" s="361">
        <v>44604</v>
      </c>
      <c r="AH16" s="270"/>
      <c r="AI16" s="383">
        <v>344</v>
      </c>
      <c r="AJ16" s="363">
        <v>44634</v>
      </c>
      <c r="AK16" s="117"/>
      <c r="AL16" s="398"/>
      <c r="AM16" s="399"/>
      <c r="AN16" s="400"/>
      <c r="AO16" s="394"/>
    </row>
    <row r="17" spans="2:41" ht="15" customHeight="1" x14ac:dyDescent="0.25">
      <c r="B17" s="382">
        <v>15</v>
      </c>
      <c r="C17" s="361">
        <v>44681</v>
      </c>
      <c r="D17" s="270">
        <v>62</v>
      </c>
      <c r="E17" s="383">
        <v>45</v>
      </c>
      <c r="F17" s="363">
        <v>44711</v>
      </c>
      <c r="G17" s="117"/>
      <c r="H17" s="384">
        <v>75</v>
      </c>
      <c r="I17" s="365">
        <v>44741</v>
      </c>
      <c r="J17" s="117"/>
      <c r="K17" s="385">
        <v>105</v>
      </c>
      <c r="L17" s="367">
        <v>44668</v>
      </c>
      <c r="M17" s="117"/>
      <c r="N17" s="387">
        <v>135</v>
      </c>
      <c r="O17" s="369">
        <v>44698</v>
      </c>
      <c r="P17" s="117"/>
      <c r="Q17" s="388">
        <v>165</v>
      </c>
      <c r="R17" s="371">
        <v>44728</v>
      </c>
      <c r="S17" s="270"/>
      <c r="T17" s="389">
        <v>195</v>
      </c>
      <c r="U17" s="373">
        <v>44485</v>
      </c>
      <c r="V17" s="117"/>
      <c r="W17" s="374">
        <v>225</v>
      </c>
      <c r="X17" s="375">
        <v>44515</v>
      </c>
      <c r="Y17" s="117"/>
      <c r="Z17" s="391">
        <v>255</v>
      </c>
      <c r="AA17" s="377">
        <v>44545</v>
      </c>
      <c r="AB17" s="117"/>
      <c r="AC17" s="392">
        <v>285</v>
      </c>
      <c r="AD17" s="379">
        <v>44575</v>
      </c>
      <c r="AE17" s="117"/>
      <c r="AF17" s="380">
        <v>315</v>
      </c>
      <c r="AG17" s="361">
        <v>44605</v>
      </c>
      <c r="AH17" s="270"/>
      <c r="AI17" s="362">
        <v>345</v>
      </c>
      <c r="AJ17" s="363">
        <v>44635</v>
      </c>
      <c r="AK17" s="117"/>
      <c r="AL17" s="398"/>
      <c r="AM17" s="399"/>
      <c r="AN17" s="400"/>
      <c r="AO17" s="394"/>
    </row>
    <row r="18" spans="2:41" ht="15" customHeight="1" x14ac:dyDescent="0.25">
      <c r="B18" s="382">
        <v>16</v>
      </c>
      <c r="C18" s="361">
        <v>44682</v>
      </c>
      <c r="D18" s="270">
        <v>64</v>
      </c>
      <c r="E18" s="383">
        <v>46</v>
      </c>
      <c r="F18" s="363">
        <v>44712</v>
      </c>
      <c r="G18" s="117">
        <v>52</v>
      </c>
      <c r="H18" s="384">
        <v>76</v>
      </c>
      <c r="I18" s="365">
        <v>44742</v>
      </c>
      <c r="J18" s="117"/>
      <c r="K18" s="385">
        <v>106</v>
      </c>
      <c r="L18" s="367">
        <v>44669</v>
      </c>
      <c r="M18" s="117"/>
      <c r="N18" s="387">
        <v>136</v>
      </c>
      <c r="O18" s="369">
        <v>44699</v>
      </c>
      <c r="P18" s="117"/>
      <c r="Q18" s="388">
        <v>166</v>
      </c>
      <c r="R18" s="371">
        <v>44729</v>
      </c>
      <c r="S18" s="117"/>
      <c r="T18" s="389">
        <v>196</v>
      </c>
      <c r="U18" s="373">
        <v>44486</v>
      </c>
      <c r="V18" s="117"/>
      <c r="W18" s="390">
        <v>226</v>
      </c>
      <c r="X18" s="375">
        <v>44516</v>
      </c>
      <c r="Y18" s="117"/>
      <c r="Z18" s="391">
        <v>256</v>
      </c>
      <c r="AA18" s="377">
        <v>44546</v>
      </c>
      <c r="AB18" s="117"/>
      <c r="AC18" s="392">
        <v>286</v>
      </c>
      <c r="AD18" s="379">
        <v>44576</v>
      </c>
      <c r="AE18" s="117"/>
      <c r="AF18" s="393">
        <v>316</v>
      </c>
      <c r="AG18" s="361">
        <v>44606</v>
      </c>
      <c r="AH18" s="270"/>
      <c r="AI18" s="383">
        <v>346</v>
      </c>
      <c r="AJ18" s="363">
        <v>44636</v>
      </c>
      <c r="AK18" s="117"/>
      <c r="AL18" s="398"/>
      <c r="AM18" s="399"/>
      <c r="AN18" s="400"/>
      <c r="AO18" s="394"/>
    </row>
    <row r="19" spans="2:41" ht="15" customHeight="1" x14ac:dyDescent="0.25">
      <c r="B19" s="382">
        <v>17</v>
      </c>
      <c r="C19" s="361">
        <v>44683</v>
      </c>
      <c r="D19" s="270"/>
      <c r="E19" s="383">
        <v>47</v>
      </c>
      <c r="F19" s="363">
        <v>44713</v>
      </c>
      <c r="G19" s="117">
        <v>54</v>
      </c>
      <c r="H19" s="384">
        <v>77</v>
      </c>
      <c r="I19" s="365">
        <v>44743</v>
      </c>
      <c r="J19" s="117"/>
      <c r="K19" s="385">
        <v>107</v>
      </c>
      <c r="L19" s="367">
        <v>44670</v>
      </c>
      <c r="M19" s="117"/>
      <c r="N19" s="387">
        <v>137</v>
      </c>
      <c r="O19" s="369">
        <v>44700</v>
      </c>
      <c r="P19" s="117"/>
      <c r="Q19" s="388">
        <v>167</v>
      </c>
      <c r="R19" s="371">
        <v>44730</v>
      </c>
      <c r="S19" s="270"/>
      <c r="T19" s="389">
        <v>197</v>
      </c>
      <c r="U19" s="373">
        <v>44487</v>
      </c>
      <c r="V19" s="117"/>
      <c r="W19" s="374">
        <v>227</v>
      </c>
      <c r="X19" s="375">
        <v>44517</v>
      </c>
      <c r="Y19" s="117"/>
      <c r="Z19" s="391">
        <v>257</v>
      </c>
      <c r="AA19" s="377">
        <v>44547</v>
      </c>
      <c r="AB19" s="117"/>
      <c r="AC19" s="392">
        <v>287</v>
      </c>
      <c r="AD19" s="379">
        <v>44577</v>
      </c>
      <c r="AE19" s="117"/>
      <c r="AF19" s="380">
        <v>317</v>
      </c>
      <c r="AG19" s="361">
        <v>44607</v>
      </c>
      <c r="AH19" s="270"/>
      <c r="AI19" s="362">
        <v>347</v>
      </c>
      <c r="AJ19" s="363">
        <v>44637</v>
      </c>
      <c r="AK19" s="117"/>
      <c r="AL19" s="398"/>
      <c r="AM19" s="399"/>
      <c r="AN19" s="400"/>
      <c r="AO19" s="394"/>
    </row>
    <row r="20" spans="2:41" ht="15" customHeight="1" x14ac:dyDescent="0.25">
      <c r="B20" s="382">
        <v>18</v>
      </c>
      <c r="C20" s="361">
        <v>44684</v>
      </c>
      <c r="D20" s="117">
        <v>134</v>
      </c>
      <c r="E20" s="383">
        <v>48</v>
      </c>
      <c r="F20" s="363">
        <v>44714</v>
      </c>
      <c r="G20" s="117">
        <v>56</v>
      </c>
      <c r="H20" s="384">
        <v>78</v>
      </c>
      <c r="I20" s="365">
        <v>44744</v>
      </c>
      <c r="J20" s="117"/>
      <c r="K20" s="385">
        <v>108</v>
      </c>
      <c r="L20" s="367">
        <v>44671</v>
      </c>
      <c r="M20" s="117"/>
      <c r="N20" s="387">
        <v>138</v>
      </c>
      <c r="O20" s="369">
        <v>44701</v>
      </c>
      <c r="P20" s="117"/>
      <c r="Q20" s="388">
        <v>168</v>
      </c>
      <c r="R20" s="371">
        <v>44731</v>
      </c>
      <c r="S20" s="117"/>
      <c r="T20" s="389">
        <v>198</v>
      </c>
      <c r="U20" s="373">
        <v>44488</v>
      </c>
      <c r="V20" s="117"/>
      <c r="W20" s="390">
        <v>228</v>
      </c>
      <c r="X20" s="375">
        <v>44518</v>
      </c>
      <c r="Y20" s="117"/>
      <c r="Z20" s="391">
        <v>258</v>
      </c>
      <c r="AA20" s="377">
        <v>44548</v>
      </c>
      <c r="AB20" s="117"/>
      <c r="AC20" s="392">
        <v>288</v>
      </c>
      <c r="AD20" s="379">
        <v>44578</v>
      </c>
      <c r="AE20" s="117"/>
      <c r="AF20" s="393">
        <v>318</v>
      </c>
      <c r="AG20" s="361">
        <v>44608</v>
      </c>
      <c r="AH20" s="270"/>
      <c r="AI20" s="383">
        <v>348</v>
      </c>
      <c r="AJ20" s="363">
        <v>44638</v>
      </c>
      <c r="AK20" s="117"/>
      <c r="AL20" s="398"/>
      <c r="AM20" s="399"/>
      <c r="AN20" s="400"/>
      <c r="AO20" s="394"/>
    </row>
    <row r="21" spans="2:41" ht="15" customHeight="1" x14ac:dyDescent="0.25">
      <c r="B21" s="382">
        <v>19</v>
      </c>
      <c r="C21" s="361">
        <v>44685</v>
      </c>
      <c r="D21" s="117">
        <v>70</v>
      </c>
      <c r="E21" s="383">
        <v>49</v>
      </c>
      <c r="F21" s="363">
        <v>44715</v>
      </c>
      <c r="G21" s="117">
        <v>58</v>
      </c>
      <c r="H21" s="384">
        <v>79</v>
      </c>
      <c r="I21" s="365">
        <v>44745</v>
      </c>
      <c r="J21" s="117"/>
      <c r="K21" s="385">
        <v>109</v>
      </c>
      <c r="L21" s="367">
        <v>44672</v>
      </c>
      <c r="M21" s="117"/>
      <c r="N21" s="387">
        <v>139</v>
      </c>
      <c r="O21" s="369">
        <v>44702</v>
      </c>
      <c r="P21" s="117"/>
      <c r="Q21" s="388">
        <v>169</v>
      </c>
      <c r="R21" s="371">
        <v>44732</v>
      </c>
      <c r="S21" s="270"/>
      <c r="T21" s="389">
        <v>199</v>
      </c>
      <c r="U21" s="373">
        <v>44489</v>
      </c>
      <c r="V21" s="117"/>
      <c r="W21" s="374">
        <v>229</v>
      </c>
      <c r="X21" s="375">
        <v>44519</v>
      </c>
      <c r="Y21" s="117"/>
      <c r="Z21" s="391">
        <v>259</v>
      </c>
      <c r="AA21" s="377">
        <v>44549</v>
      </c>
      <c r="AB21" s="117"/>
      <c r="AC21" s="392">
        <v>289</v>
      </c>
      <c r="AD21" s="379">
        <v>44579</v>
      </c>
      <c r="AE21" s="117"/>
      <c r="AF21" s="380">
        <v>319</v>
      </c>
      <c r="AG21" s="361">
        <v>44609</v>
      </c>
      <c r="AH21" s="270"/>
      <c r="AI21" s="362">
        <v>349</v>
      </c>
      <c r="AJ21" s="363">
        <v>44639</v>
      </c>
      <c r="AK21" s="117"/>
      <c r="AL21" s="398"/>
      <c r="AM21" s="399"/>
      <c r="AN21" s="400"/>
      <c r="AO21" s="394"/>
    </row>
    <row r="22" spans="2:41" ht="15" customHeight="1" x14ac:dyDescent="0.25">
      <c r="B22" s="382">
        <v>20</v>
      </c>
      <c r="C22" s="361">
        <v>44686</v>
      </c>
      <c r="D22" s="270">
        <v>72</v>
      </c>
      <c r="E22" s="383">
        <v>50</v>
      </c>
      <c r="F22" s="363">
        <v>44716</v>
      </c>
      <c r="G22" s="117">
        <v>60</v>
      </c>
      <c r="H22" s="384">
        <v>80</v>
      </c>
      <c r="I22" s="365">
        <v>44746</v>
      </c>
      <c r="J22" s="117"/>
      <c r="K22" s="385">
        <v>110</v>
      </c>
      <c r="L22" s="367">
        <v>44673</v>
      </c>
      <c r="M22" s="117"/>
      <c r="N22" s="387">
        <v>140</v>
      </c>
      <c r="O22" s="369">
        <v>44703</v>
      </c>
      <c r="P22" s="117"/>
      <c r="Q22" s="388">
        <v>170</v>
      </c>
      <c r="R22" s="371">
        <v>44733</v>
      </c>
      <c r="S22" s="117"/>
      <c r="T22" s="389">
        <v>200</v>
      </c>
      <c r="U22" s="373">
        <v>44490</v>
      </c>
      <c r="V22" s="117"/>
      <c r="W22" s="390">
        <v>230</v>
      </c>
      <c r="X22" s="375">
        <v>44520</v>
      </c>
      <c r="Y22" s="117"/>
      <c r="Z22" s="391">
        <v>260</v>
      </c>
      <c r="AA22" s="377">
        <v>44550</v>
      </c>
      <c r="AB22" s="117"/>
      <c r="AC22" s="392">
        <v>290</v>
      </c>
      <c r="AD22" s="379">
        <v>44580</v>
      </c>
      <c r="AE22" s="117"/>
      <c r="AF22" s="393">
        <v>320</v>
      </c>
      <c r="AG22" s="361">
        <v>44610</v>
      </c>
      <c r="AH22" s="270"/>
      <c r="AI22" s="383">
        <v>350</v>
      </c>
      <c r="AJ22" s="363">
        <v>44640</v>
      </c>
      <c r="AK22" s="117"/>
      <c r="AL22" s="398"/>
      <c r="AM22" s="399"/>
      <c r="AN22" s="400"/>
      <c r="AO22" s="394"/>
    </row>
    <row r="23" spans="2:41" ht="15" customHeight="1" x14ac:dyDescent="0.25">
      <c r="B23" s="382">
        <v>21</v>
      </c>
      <c r="C23" s="361">
        <v>44687</v>
      </c>
      <c r="D23" s="270">
        <v>74</v>
      </c>
      <c r="E23" s="383">
        <v>51</v>
      </c>
      <c r="F23" s="363">
        <v>44717</v>
      </c>
      <c r="G23" s="117">
        <v>0</v>
      </c>
      <c r="H23" s="384">
        <v>81</v>
      </c>
      <c r="I23" s="365">
        <v>44747</v>
      </c>
      <c r="J23" s="117"/>
      <c r="K23" s="385">
        <v>111</v>
      </c>
      <c r="L23" s="367">
        <v>44674</v>
      </c>
      <c r="M23" s="117"/>
      <c r="N23" s="387">
        <v>141</v>
      </c>
      <c r="O23" s="369">
        <v>44704</v>
      </c>
      <c r="P23" s="117"/>
      <c r="Q23" s="388">
        <v>171</v>
      </c>
      <c r="R23" s="371">
        <v>44734</v>
      </c>
      <c r="S23" s="270"/>
      <c r="T23" s="389">
        <v>201</v>
      </c>
      <c r="U23" s="373">
        <v>44491</v>
      </c>
      <c r="V23" s="117"/>
      <c r="W23" s="374">
        <v>231</v>
      </c>
      <c r="X23" s="375">
        <v>44521</v>
      </c>
      <c r="Y23" s="117"/>
      <c r="Z23" s="391">
        <v>261</v>
      </c>
      <c r="AA23" s="377">
        <v>44551</v>
      </c>
      <c r="AB23" s="117"/>
      <c r="AC23" s="392">
        <v>291</v>
      </c>
      <c r="AD23" s="379">
        <v>44581</v>
      </c>
      <c r="AE23" s="117"/>
      <c r="AF23" s="380">
        <v>321</v>
      </c>
      <c r="AG23" s="361">
        <v>44611</v>
      </c>
      <c r="AH23" s="270"/>
      <c r="AI23" s="362">
        <v>351</v>
      </c>
      <c r="AJ23" s="363">
        <v>44641</v>
      </c>
      <c r="AK23" s="117"/>
      <c r="AL23" s="398"/>
      <c r="AM23" s="399"/>
      <c r="AN23" s="400"/>
      <c r="AO23" s="394"/>
    </row>
    <row r="24" spans="2:41" ht="15" customHeight="1" x14ac:dyDescent="0.25">
      <c r="B24" s="382">
        <v>22</v>
      </c>
      <c r="C24" s="361">
        <v>44688</v>
      </c>
      <c r="D24" s="270">
        <v>27</v>
      </c>
      <c r="E24" s="383">
        <v>52</v>
      </c>
      <c r="F24" s="363">
        <v>44718</v>
      </c>
      <c r="G24" s="117">
        <v>62</v>
      </c>
      <c r="H24" s="384">
        <v>82</v>
      </c>
      <c r="I24" s="365">
        <v>44748</v>
      </c>
      <c r="J24" s="117"/>
      <c r="K24" s="385">
        <v>112</v>
      </c>
      <c r="L24" s="367">
        <v>44675</v>
      </c>
      <c r="M24" s="117"/>
      <c r="N24" s="387">
        <v>142</v>
      </c>
      <c r="O24" s="369">
        <v>44705</v>
      </c>
      <c r="P24" s="117"/>
      <c r="Q24" s="388">
        <v>172</v>
      </c>
      <c r="R24" s="371">
        <v>44735</v>
      </c>
      <c r="S24" s="117"/>
      <c r="T24" s="389">
        <v>202</v>
      </c>
      <c r="U24" s="373">
        <v>44492</v>
      </c>
      <c r="V24" s="117"/>
      <c r="W24" s="390">
        <v>232</v>
      </c>
      <c r="X24" s="375">
        <v>44522</v>
      </c>
      <c r="Y24" s="117"/>
      <c r="Z24" s="391">
        <v>262</v>
      </c>
      <c r="AA24" s="377">
        <v>44552</v>
      </c>
      <c r="AB24" s="117"/>
      <c r="AC24" s="392">
        <v>292</v>
      </c>
      <c r="AD24" s="379">
        <v>44582</v>
      </c>
      <c r="AE24" s="117"/>
      <c r="AF24" s="393">
        <v>322</v>
      </c>
      <c r="AG24" s="361">
        <v>44612</v>
      </c>
      <c r="AH24" s="270"/>
      <c r="AI24" s="383">
        <v>352</v>
      </c>
      <c r="AJ24" s="363">
        <v>44642</v>
      </c>
      <c r="AK24" s="117"/>
      <c r="AL24" s="398"/>
      <c r="AM24" s="399"/>
      <c r="AN24" s="400"/>
      <c r="AO24" s="394"/>
    </row>
    <row r="25" spans="2:41" ht="15" customHeight="1" x14ac:dyDescent="0.25">
      <c r="B25" s="382">
        <v>23</v>
      </c>
      <c r="C25" s="361">
        <v>44689</v>
      </c>
      <c r="D25" s="270">
        <v>27</v>
      </c>
      <c r="E25" s="383">
        <v>53</v>
      </c>
      <c r="F25" s="363">
        <v>44719</v>
      </c>
      <c r="G25" s="117"/>
      <c r="H25" s="384">
        <v>83</v>
      </c>
      <c r="I25" s="365">
        <v>44749</v>
      </c>
      <c r="J25" s="117"/>
      <c r="K25" s="385">
        <v>113</v>
      </c>
      <c r="L25" s="367">
        <v>44676</v>
      </c>
      <c r="M25" s="117"/>
      <c r="N25" s="387">
        <v>143</v>
      </c>
      <c r="O25" s="369">
        <v>44706</v>
      </c>
      <c r="P25" s="117"/>
      <c r="Q25" s="388">
        <v>173</v>
      </c>
      <c r="R25" s="371">
        <v>44736</v>
      </c>
      <c r="S25" s="270"/>
      <c r="T25" s="389">
        <v>203</v>
      </c>
      <c r="U25" s="373">
        <v>44493</v>
      </c>
      <c r="V25" s="117"/>
      <c r="W25" s="374">
        <v>233</v>
      </c>
      <c r="X25" s="375">
        <v>44523</v>
      </c>
      <c r="Y25" s="117"/>
      <c r="Z25" s="391">
        <v>263</v>
      </c>
      <c r="AA25" s="377">
        <v>44553</v>
      </c>
      <c r="AB25" s="117"/>
      <c r="AC25" s="392">
        <v>293</v>
      </c>
      <c r="AD25" s="379">
        <v>44583</v>
      </c>
      <c r="AE25" s="117"/>
      <c r="AF25" s="380">
        <v>323</v>
      </c>
      <c r="AG25" s="361">
        <v>44613</v>
      </c>
      <c r="AH25" s="270"/>
      <c r="AI25" s="362">
        <v>353</v>
      </c>
      <c r="AJ25" s="363">
        <v>44643</v>
      </c>
      <c r="AK25" s="117"/>
      <c r="AL25" s="398"/>
      <c r="AM25" s="399"/>
      <c r="AN25" s="400"/>
      <c r="AO25" s="394"/>
    </row>
    <row r="26" spans="2:41" ht="15" customHeight="1" x14ac:dyDescent="0.25">
      <c r="B26" s="382">
        <v>24</v>
      </c>
      <c r="C26" s="361">
        <v>44690</v>
      </c>
      <c r="D26" s="270">
        <v>27</v>
      </c>
      <c r="E26" s="383">
        <v>54</v>
      </c>
      <c r="F26" s="363">
        <v>44720</v>
      </c>
      <c r="G26" s="117"/>
      <c r="H26" s="384">
        <v>84</v>
      </c>
      <c r="I26" s="365">
        <v>44750</v>
      </c>
      <c r="J26" s="117"/>
      <c r="K26" s="385">
        <v>114</v>
      </c>
      <c r="L26" s="367">
        <v>44677</v>
      </c>
      <c r="M26" s="117"/>
      <c r="N26" s="387">
        <v>144</v>
      </c>
      <c r="O26" s="369">
        <v>44707</v>
      </c>
      <c r="P26" s="117"/>
      <c r="Q26" s="388">
        <v>174</v>
      </c>
      <c r="R26" s="371">
        <v>44737</v>
      </c>
      <c r="S26" s="117"/>
      <c r="T26" s="389">
        <v>204</v>
      </c>
      <c r="U26" s="373">
        <v>44494</v>
      </c>
      <c r="V26" s="117"/>
      <c r="W26" s="390">
        <v>234</v>
      </c>
      <c r="X26" s="375">
        <v>44524</v>
      </c>
      <c r="Y26" s="117"/>
      <c r="Z26" s="391">
        <v>264</v>
      </c>
      <c r="AA26" s="377">
        <v>44554</v>
      </c>
      <c r="AB26" s="117"/>
      <c r="AC26" s="392">
        <v>294</v>
      </c>
      <c r="AD26" s="379">
        <v>44584</v>
      </c>
      <c r="AE26" s="117"/>
      <c r="AF26" s="393">
        <v>324</v>
      </c>
      <c r="AG26" s="361">
        <v>44614</v>
      </c>
      <c r="AH26" s="270"/>
      <c r="AI26" s="383">
        <v>354</v>
      </c>
      <c r="AJ26" s="363">
        <v>44644</v>
      </c>
      <c r="AK26" s="117"/>
      <c r="AL26" s="398"/>
      <c r="AM26" s="399"/>
      <c r="AN26" s="400"/>
      <c r="AO26" s="394"/>
    </row>
    <row r="27" spans="2:41" ht="15" customHeight="1" x14ac:dyDescent="0.25">
      <c r="B27" s="382">
        <v>25</v>
      </c>
      <c r="C27" s="361">
        <v>44691</v>
      </c>
      <c r="D27" s="270">
        <f>133/5</f>
        <v>26.6</v>
      </c>
      <c r="E27" s="383">
        <v>55</v>
      </c>
      <c r="F27" s="363">
        <v>44721</v>
      </c>
      <c r="G27" s="117"/>
      <c r="H27" s="384">
        <v>85</v>
      </c>
      <c r="I27" s="365">
        <v>44751</v>
      </c>
      <c r="J27" s="117"/>
      <c r="K27" s="385">
        <v>115</v>
      </c>
      <c r="L27" s="367">
        <v>44678</v>
      </c>
      <c r="M27" s="117"/>
      <c r="N27" s="387">
        <v>145</v>
      </c>
      <c r="O27" s="369">
        <v>44708</v>
      </c>
      <c r="P27" s="117"/>
      <c r="Q27" s="388">
        <v>175</v>
      </c>
      <c r="R27" s="371">
        <v>44738</v>
      </c>
      <c r="S27" s="270"/>
      <c r="T27" s="389">
        <v>205</v>
      </c>
      <c r="U27" s="373">
        <v>44495</v>
      </c>
      <c r="V27" s="117"/>
      <c r="W27" s="374">
        <v>235</v>
      </c>
      <c r="X27" s="375">
        <v>44525</v>
      </c>
      <c r="Y27" s="117"/>
      <c r="Z27" s="391">
        <v>265</v>
      </c>
      <c r="AA27" s="377">
        <v>44555</v>
      </c>
      <c r="AB27" s="117"/>
      <c r="AC27" s="392">
        <v>295</v>
      </c>
      <c r="AD27" s="379">
        <v>44585</v>
      </c>
      <c r="AE27" s="117"/>
      <c r="AF27" s="380">
        <v>325</v>
      </c>
      <c r="AG27" s="361">
        <v>44615</v>
      </c>
      <c r="AH27" s="270"/>
      <c r="AI27" s="362">
        <v>355</v>
      </c>
      <c r="AJ27" s="363">
        <v>44645</v>
      </c>
      <c r="AK27" s="117"/>
      <c r="AL27" s="398"/>
      <c r="AM27" s="399"/>
      <c r="AN27" s="400"/>
      <c r="AO27" s="394"/>
    </row>
    <row r="28" spans="2:41" ht="15" customHeight="1" x14ac:dyDescent="0.25">
      <c r="B28" s="382">
        <v>26</v>
      </c>
      <c r="C28" s="361">
        <v>44692</v>
      </c>
      <c r="D28" s="270">
        <v>27</v>
      </c>
      <c r="E28" s="383">
        <v>56</v>
      </c>
      <c r="F28" s="363">
        <v>44722</v>
      </c>
      <c r="G28" s="117"/>
      <c r="H28" s="384">
        <v>86</v>
      </c>
      <c r="I28" s="365">
        <v>44752</v>
      </c>
      <c r="J28" s="117"/>
      <c r="K28" s="385">
        <v>116</v>
      </c>
      <c r="L28" s="367">
        <v>44679</v>
      </c>
      <c r="M28" s="117"/>
      <c r="N28" s="387">
        <v>146</v>
      </c>
      <c r="O28" s="369">
        <v>44709</v>
      </c>
      <c r="P28" s="117"/>
      <c r="Q28" s="388">
        <v>176</v>
      </c>
      <c r="R28" s="371">
        <v>44739</v>
      </c>
      <c r="S28" s="117"/>
      <c r="T28" s="389">
        <v>206</v>
      </c>
      <c r="U28" s="373">
        <v>44496</v>
      </c>
      <c r="V28" s="117"/>
      <c r="W28" s="390">
        <v>236</v>
      </c>
      <c r="X28" s="375">
        <v>44526</v>
      </c>
      <c r="Y28" s="117"/>
      <c r="Z28" s="391">
        <v>266</v>
      </c>
      <c r="AA28" s="377">
        <v>44556</v>
      </c>
      <c r="AB28" s="117"/>
      <c r="AC28" s="392">
        <v>296</v>
      </c>
      <c r="AD28" s="379">
        <v>44586</v>
      </c>
      <c r="AE28" s="117"/>
      <c r="AF28" s="393">
        <v>326</v>
      </c>
      <c r="AG28" s="361">
        <v>44616</v>
      </c>
      <c r="AH28" s="270"/>
      <c r="AI28" s="383">
        <v>356</v>
      </c>
      <c r="AJ28" s="363">
        <v>44646</v>
      </c>
      <c r="AK28" s="117"/>
      <c r="AL28" s="398"/>
      <c r="AM28" s="399"/>
      <c r="AN28" s="400"/>
      <c r="AO28" s="394"/>
    </row>
    <row r="29" spans="2:41" ht="15" customHeight="1" x14ac:dyDescent="0.25">
      <c r="B29" s="382">
        <v>27</v>
      </c>
      <c r="C29" s="361">
        <v>44693</v>
      </c>
      <c r="D29" s="270"/>
      <c r="E29" s="383">
        <v>57</v>
      </c>
      <c r="F29" s="363">
        <v>44723</v>
      </c>
      <c r="G29" s="117"/>
      <c r="H29" s="384">
        <v>87</v>
      </c>
      <c r="I29" s="365">
        <v>44753</v>
      </c>
      <c r="J29" s="117"/>
      <c r="K29" s="385">
        <v>117</v>
      </c>
      <c r="L29" s="367">
        <v>44680</v>
      </c>
      <c r="M29" s="117"/>
      <c r="N29" s="387">
        <v>147</v>
      </c>
      <c r="O29" s="369">
        <v>44710</v>
      </c>
      <c r="P29" s="117"/>
      <c r="Q29" s="388">
        <v>177</v>
      </c>
      <c r="R29" s="371">
        <v>44740</v>
      </c>
      <c r="S29" s="270"/>
      <c r="T29" s="389">
        <v>207</v>
      </c>
      <c r="U29" s="373">
        <v>44497</v>
      </c>
      <c r="V29" s="117"/>
      <c r="W29" s="374">
        <v>237</v>
      </c>
      <c r="X29" s="375">
        <v>44527</v>
      </c>
      <c r="Y29" s="117"/>
      <c r="Z29" s="391">
        <v>267</v>
      </c>
      <c r="AA29" s="377">
        <v>44557</v>
      </c>
      <c r="AB29" s="117"/>
      <c r="AC29" s="392">
        <v>297</v>
      </c>
      <c r="AD29" s="379">
        <v>44587</v>
      </c>
      <c r="AE29" s="117"/>
      <c r="AF29" s="380">
        <v>327</v>
      </c>
      <c r="AG29" s="361">
        <v>44617</v>
      </c>
      <c r="AH29" s="270"/>
      <c r="AI29" s="362">
        <v>357</v>
      </c>
      <c r="AJ29" s="363">
        <v>44647</v>
      </c>
      <c r="AK29" s="117"/>
      <c r="AL29" s="398"/>
      <c r="AM29" s="399"/>
      <c r="AN29" s="400"/>
      <c r="AO29" s="394"/>
    </row>
    <row r="30" spans="2:41" ht="15" customHeight="1" x14ac:dyDescent="0.25">
      <c r="B30" s="382">
        <v>28</v>
      </c>
      <c r="C30" s="361">
        <v>44694</v>
      </c>
      <c r="D30" s="270">
        <v>76</v>
      </c>
      <c r="E30" s="383">
        <v>58</v>
      </c>
      <c r="F30" s="363">
        <v>44724</v>
      </c>
      <c r="G30" s="117"/>
      <c r="H30" s="384">
        <v>88</v>
      </c>
      <c r="I30" s="365">
        <v>44754</v>
      </c>
      <c r="J30" s="117"/>
      <c r="K30" s="385">
        <v>118</v>
      </c>
      <c r="L30" s="367">
        <v>44681</v>
      </c>
      <c r="M30" s="117"/>
      <c r="N30" s="387">
        <v>148</v>
      </c>
      <c r="O30" s="369">
        <v>44711</v>
      </c>
      <c r="P30" s="117"/>
      <c r="Q30" s="388">
        <v>178</v>
      </c>
      <c r="R30" s="371">
        <v>44741</v>
      </c>
      <c r="S30" s="117"/>
      <c r="T30" s="389">
        <v>208</v>
      </c>
      <c r="U30" s="373">
        <v>44498</v>
      </c>
      <c r="V30" s="117"/>
      <c r="W30" s="390">
        <v>238</v>
      </c>
      <c r="X30" s="375">
        <v>44528</v>
      </c>
      <c r="Y30" s="117"/>
      <c r="Z30" s="391">
        <v>268</v>
      </c>
      <c r="AA30" s="377">
        <v>44558</v>
      </c>
      <c r="AB30" s="117"/>
      <c r="AC30" s="392">
        <v>298</v>
      </c>
      <c r="AD30" s="379">
        <v>44588</v>
      </c>
      <c r="AE30" s="117"/>
      <c r="AF30" s="393">
        <v>328</v>
      </c>
      <c r="AG30" s="361">
        <v>44618</v>
      </c>
      <c r="AH30" s="270"/>
      <c r="AI30" s="383">
        <v>358</v>
      </c>
      <c r="AJ30" s="363">
        <v>44648</v>
      </c>
      <c r="AK30" s="117"/>
      <c r="AL30" s="398"/>
      <c r="AM30" s="399"/>
      <c r="AN30" s="400"/>
      <c r="AO30" s="394"/>
    </row>
    <row r="31" spans="2:41" ht="15" customHeight="1" x14ac:dyDescent="0.25">
      <c r="B31" s="382">
        <v>29</v>
      </c>
      <c r="C31" s="361">
        <v>44695</v>
      </c>
      <c r="D31" s="270"/>
      <c r="E31" s="383">
        <v>59</v>
      </c>
      <c r="F31" s="363">
        <v>44725</v>
      </c>
      <c r="G31" s="117"/>
      <c r="H31" s="384">
        <v>89</v>
      </c>
      <c r="I31" s="365">
        <v>44755</v>
      </c>
      <c r="J31" s="117"/>
      <c r="K31" s="385">
        <v>119</v>
      </c>
      <c r="L31" s="367">
        <v>44682</v>
      </c>
      <c r="M31" s="117"/>
      <c r="N31" s="387">
        <v>149</v>
      </c>
      <c r="O31" s="369">
        <v>44712</v>
      </c>
      <c r="P31" s="117"/>
      <c r="Q31" s="388">
        <v>179</v>
      </c>
      <c r="R31" s="371">
        <v>44742</v>
      </c>
      <c r="S31" s="270"/>
      <c r="T31" s="389">
        <v>209</v>
      </c>
      <c r="U31" s="373">
        <v>44499</v>
      </c>
      <c r="V31" s="117"/>
      <c r="W31" s="374">
        <v>239</v>
      </c>
      <c r="X31" s="375">
        <v>44529</v>
      </c>
      <c r="Y31" s="117"/>
      <c r="Z31" s="391">
        <v>269</v>
      </c>
      <c r="AA31" s="377">
        <v>44559</v>
      </c>
      <c r="AB31" s="117"/>
      <c r="AC31" s="392">
        <v>299</v>
      </c>
      <c r="AD31" s="379">
        <v>44589</v>
      </c>
      <c r="AE31" s="117"/>
      <c r="AF31" s="380">
        <v>329</v>
      </c>
      <c r="AG31" s="361">
        <v>44619</v>
      </c>
      <c r="AH31" s="270"/>
      <c r="AI31" s="362">
        <v>359</v>
      </c>
      <c r="AJ31" s="363">
        <v>44649</v>
      </c>
      <c r="AK31" s="117"/>
      <c r="AL31" s="398"/>
      <c r="AM31" s="399"/>
      <c r="AN31" s="400"/>
      <c r="AO31" s="394"/>
    </row>
    <row r="32" spans="2:41" ht="15.75" customHeight="1" x14ac:dyDescent="0.25">
      <c r="B32" s="401">
        <v>30</v>
      </c>
      <c r="C32" s="402">
        <v>44696</v>
      </c>
      <c r="D32" s="270">
        <v>80</v>
      </c>
      <c r="E32" s="403">
        <v>60</v>
      </c>
      <c r="F32" s="404">
        <v>44726</v>
      </c>
      <c r="G32" s="405"/>
      <c r="H32" s="406">
        <v>90</v>
      </c>
      <c r="I32" s="407">
        <v>44653</v>
      </c>
      <c r="J32" s="405"/>
      <c r="K32" s="408">
        <v>120</v>
      </c>
      <c r="L32" s="409">
        <v>44683</v>
      </c>
      <c r="M32" s="117"/>
      <c r="N32" s="410">
        <v>150</v>
      </c>
      <c r="O32" s="411">
        <v>44713</v>
      </c>
      <c r="P32" s="117"/>
      <c r="Q32" s="412">
        <v>180</v>
      </c>
      <c r="R32" s="404">
        <v>44743</v>
      </c>
      <c r="S32" s="117"/>
      <c r="T32" s="413">
        <v>210</v>
      </c>
      <c r="U32" s="414">
        <v>44500</v>
      </c>
      <c r="V32" s="405"/>
      <c r="W32" s="415">
        <v>240</v>
      </c>
      <c r="X32" s="416">
        <v>44530</v>
      </c>
      <c r="Y32" s="405"/>
      <c r="Z32" s="417">
        <v>270</v>
      </c>
      <c r="AA32" s="418">
        <v>44560</v>
      </c>
      <c r="AB32" s="405"/>
      <c r="AC32" s="419">
        <v>300</v>
      </c>
      <c r="AD32" s="420">
        <v>44590</v>
      </c>
      <c r="AE32" s="405">
        <v>300</v>
      </c>
      <c r="AF32" s="421">
        <v>330</v>
      </c>
      <c r="AG32" s="422">
        <v>44620</v>
      </c>
      <c r="AH32" s="423"/>
      <c r="AI32" s="424">
        <v>360</v>
      </c>
      <c r="AJ32" s="425">
        <v>44650</v>
      </c>
      <c r="AK32" s="426"/>
      <c r="AL32" s="427"/>
      <c r="AM32" s="428"/>
      <c r="AN32" s="429"/>
      <c r="AO32" s="430"/>
    </row>
    <row r="33" spans="1:42" ht="18.75" x14ac:dyDescent="0.25">
      <c r="B33" s="431" t="s">
        <v>206</v>
      </c>
      <c r="C33" s="431"/>
      <c r="D33" s="432">
        <f>SUM(D3:D32)</f>
        <v>1559.6</v>
      </c>
      <c r="E33" s="433"/>
      <c r="F33" s="433"/>
      <c r="G33" s="432">
        <f>SUM(G3:G32)+3-500</f>
        <v>863</v>
      </c>
      <c r="H33" s="434"/>
      <c r="I33" s="434"/>
      <c r="J33" s="432">
        <f>SUM(J3:J32)</f>
        <v>0</v>
      </c>
      <c r="K33" s="434"/>
      <c r="L33" s="434"/>
      <c r="M33" s="432">
        <f>SUM(M3:M32)</f>
        <v>0</v>
      </c>
      <c r="N33" s="434"/>
      <c r="O33" s="434"/>
      <c r="P33" s="432">
        <f>SUM(P3:P32)</f>
        <v>0</v>
      </c>
      <c r="Q33" s="434"/>
      <c r="R33" s="434"/>
      <c r="S33" s="432">
        <f>SUM(S3:S32)</f>
        <v>0</v>
      </c>
      <c r="T33" s="434"/>
      <c r="U33" s="434"/>
      <c r="V33" s="432">
        <f>SUM(V3:V32)</f>
        <v>0</v>
      </c>
      <c r="W33" s="434"/>
      <c r="X33" s="434"/>
      <c r="Y33" s="432">
        <f>SUM(Y3:Y32)</f>
        <v>0</v>
      </c>
      <c r="Z33" s="434"/>
      <c r="AA33" s="434"/>
      <c r="AB33" s="432">
        <f>SUM(AB3:AB32)</f>
        <v>0</v>
      </c>
      <c r="AC33" s="434"/>
      <c r="AD33" s="434"/>
      <c r="AE33" s="432">
        <f>SUM(AE3:AE32)</f>
        <v>300</v>
      </c>
      <c r="AF33" s="434"/>
      <c r="AG33" s="434"/>
      <c r="AH33" s="432">
        <f>SUM(AH3:AH32)</f>
        <v>0</v>
      </c>
      <c r="AI33" s="435"/>
      <c r="AJ33" s="435"/>
      <c r="AK33" s="432">
        <f>SUM(AK3:AK32)</f>
        <v>0</v>
      </c>
      <c r="AL33" s="436"/>
      <c r="AM33" s="436"/>
      <c r="AN33" s="432">
        <f>SUM(AN3:AN7)</f>
        <v>0</v>
      </c>
      <c r="AO33" s="437">
        <f>SUM(D33:AN33)+7+28-3000</f>
        <v>-242.40000000000009</v>
      </c>
    </row>
    <row r="36" spans="1:42" ht="18.75" x14ac:dyDescent="0.25">
      <c r="D36" s="438" t="s">
        <v>299</v>
      </c>
      <c r="E36" s="439" t="s">
        <v>300</v>
      </c>
      <c r="F36" s="438" t="s">
        <v>299</v>
      </c>
      <c r="G36" s="439" t="s">
        <v>300</v>
      </c>
      <c r="H36" s="438" t="s">
        <v>299</v>
      </c>
      <c r="I36" s="439" t="s">
        <v>300</v>
      </c>
      <c r="J36" s="438" t="s">
        <v>299</v>
      </c>
      <c r="K36" s="439" t="s">
        <v>300</v>
      </c>
      <c r="L36" s="438" t="s">
        <v>299</v>
      </c>
      <c r="M36" s="440" t="s">
        <v>300</v>
      </c>
      <c r="N36" s="441"/>
      <c r="Q36" s="442"/>
      <c r="R36" s="344"/>
      <c r="S36"/>
      <c r="U36" s="344"/>
      <c r="X36" s="344"/>
      <c r="AA36" s="344"/>
      <c r="AD36" s="344"/>
      <c r="AG36" s="344"/>
    </row>
    <row r="37" spans="1:42" ht="18.75" x14ac:dyDescent="0.25">
      <c r="D37" s="443">
        <v>2022</v>
      </c>
      <c r="E37" s="444"/>
      <c r="F37" s="445">
        <v>2031</v>
      </c>
      <c r="G37" s="446"/>
      <c r="H37" s="445">
        <v>2040</v>
      </c>
      <c r="I37" s="446"/>
      <c r="J37" s="445">
        <v>2049</v>
      </c>
      <c r="K37" s="447"/>
      <c r="L37" s="448">
        <v>2058</v>
      </c>
      <c r="M37" s="449"/>
      <c r="S37"/>
      <c r="U37" s="344"/>
      <c r="X37" s="344"/>
      <c r="AA37" s="344"/>
      <c r="AD37" s="344"/>
      <c r="AG37" s="344"/>
    </row>
    <row r="38" spans="1:42" ht="18.75" x14ac:dyDescent="0.25">
      <c r="D38" s="450">
        <v>2023</v>
      </c>
      <c r="E38" s="451"/>
      <c r="F38" s="452">
        <v>2032</v>
      </c>
      <c r="G38" s="451"/>
      <c r="H38" s="452">
        <v>2041</v>
      </c>
      <c r="I38" s="451"/>
      <c r="J38" s="452">
        <v>2050</v>
      </c>
      <c r="K38" s="453"/>
      <c r="L38" s="452">
        <v>2059</v>
      </c>
      <c r="M38" s="454"/>
      <c r="S38"/>
      <c r="U38" s="344"/>
      <c r="X38" s="344"/>
      <c r="AA38" s="344"/>
      <c r="AD38" s="344"/>
      <c r="AG38" s="344"/>
    </row>
    <row r="39" spans="1:42" ht="18.75" x14ac:dyDescent="0.25">
      <c r="D39" s="450">
        <v>2024</v>
      </c>
      <c r="E39" s="451"/>
      <c r="F39" s="452">
        <v>2033</v>
      </c>
      <c r="G39" s="451"/>
      <c r="H39" s="452">
        <v>2042</v>
      </c>
      <c r="I39" s="451"/>
      <c r="J39" s="452">
        <v>2051</v>
      </c>
      <c r="K39" s="453"/>
      <c r="L39" s="452">
        <v>2060</v>
      </c>
      <c r="M39" s="455"/>
      <c r="S39"/>
      <c r="U39" s="344"/>
      <c r="X39" s="344"/>
      <c r="AA39" s="344"/>
      <c r="AD39" s="344"/>
      <c r="AG39" s="344"/>
    </row>
    <row r="40" spans="1:42" ht="18.75" x14ac:dyDescent="0.25">
      <c r="D40" s="450">
        <v>2025</v>
      </c>
      <c r="E40" s="451"/>
      <c r="F40" s="452">
        <v>2034</v>
      </c>
      <c r="G40" s="451"/>
      <c r="H40" s="452">
        <v>2043</v>
      </c>
      <c r="I40" s="451"/>
      <c r="J40" s="452">
        <v>2052</v>
      </c>
      <c r="K40" s="453"/>
      <c r="L40" s="452">
        <v>2061</v>
      </c>
      <c r="M40" s="455"/>
      <c r="O40" s="456"/>
      <c r="P40" s="612" t="s">
        <v>301</v>
      </c>
      <c r="Q40" s="613"/>
      <c r="R40" s="614"/>
      <c r="U40" s="344"/>
      <c r="X40" s="344"/>
      <c r="AA40" s="344"/>
      <c r="AD40" s="344"/>
      <c r="AG40" s="344"/>
    </row>
    <row r="41" spans="1:42" ht="18.75" x14ac:dyDescent="0.25">
      <c r="D41" s="450">
        <v>2026</v>
      </c>
      <c r="E41" s="451"/>
      <c r="F41" s="452">
        <v>2035</v>
      </c>
      <c r="G41" s="451"/>
      <c r="H41" s="452">
        <v>2044</v>
      </c>
      <c r="I41" s="451"/>
      <c r="J41" s="452">
        <v>2053</v>
      </c>
      <c r="K41" s="453"/>
      <c r="L41" s="452">
        <v>2062</v>
      </c>
      <c r="M41" s="454"/>
      <c r="O41" s="391"/>
      <c r="P41" s="615" t="s">
        <v>302</v>
      </c>
      <c r="Q41" s="615"/>
      <c r="R41" s="615"/>
      <c r="U41" s="344"/>
      <c r="X41" s="344"/>
      <c r="AA41" s="344"/>
      <c r="AD41" s="344"/>
      <c r="AG41" s="344"/>
    </row>
    <row r="42" spans="1:42" ht="18.75" x14ac:dyDescent="0.25">
      <c r="D42" s="450">
        <v>2027</v>
      </c>
      <c r="E42" s="451"/>
      <c r="F42" s="452">
        <v>2036</v>
      </c>
      <c r="G42" s="451"/>
      <c r="H42" s="452">
        <v>2045</v>
      </c>
      <c r="I42" s="451"/>
      <c r="J42" s="452">
        <v>2054</v>
      </c>
      <c r="K42" s="453"/>
      <c r="L42" s="452">
        <v>2063</v>
      </c>
      <c r="M42" s="455"/>
      <c r="O42" s="457"/>
      <c r="P42" s="615" t="s">
        <v>303</v>
      </c>
      <c r="Q42" s="615"/>
      <c r="R42" s="615"/>
      <c r="U42" s="344"/>
      <c r="X42" s="344"/>
      <c r="AA42" s="344"/>
      <c r="AD42" s="344"/>
      <c r="AG42" s="344"/>
    </row>
    <row r="43" spans="1:42" ht="18.75" x14ac:dyDescent="0.25">
      <c r="D43" s="450">
        <v>2028</v>
      </c>
      <c r="E43" s="451"/>
      <c r="F43" s="452">
        <v>2037</v>
      </c>
      <c r="G43" s="451"/>
      <c r="H43" s="452">
        <v>2046</v>
      </c>
      <c r="I43" s="451"/>
      <c r="J43" s="452">
        <v>2055</v>
      </c>
      <c r="K43" s="453"/>
      <c r="L43" s="452">
        <v>2064</v>
      </c>
      <c r="M43" s="455"/>
      <c r="O43" s="344"/>
      <c r="P43" s="87"/>
      <c r="R43" s="344"/>
      <c r="U43" s="344"/>
      <c r="X43" s="344"/>
      <c r="AA43" s="344"/>
      <c r="AD43" s="344"/>
      <c r="AG43" s="344"/>
    </row>
    <row r="44" spans="1:42" ht="18.75" x14ac:dyDescent="0.25">
      <c r="D44" s="450">
        <v>2029</v>
      </c>
      <c r="E44" s="451"/>
      <c r="F44" s="452">
        <v>2038</v>
      </c>
      <c r="G44" s="451"/>
      <c r="H44" s="452">
        <v>2047</v>
      </c>
      <c r="I44" s="451"/>
      <c r="J44" s="452">
        <v>2056</v>
      </c>
      <c r="K44" s="453"/>
      <c r="L44" s="452">
        <v>2065</v>
      </c>
      <c r="M44" s="455"/>
      <c r="O44" s="344"/>
      <c r="P44" s="87"/>
      <c r="R44" s="344"/>
      <c r="U44" s="344"/>
      <c r="X44" s="344"/>
      <c r="AA44" s="344"/>
      <c r="AD44" s="344"/>
      <c r="AG44" s="344"/>
    </row>
    <row r="45" spans="1:42" ht="18.75" x14ac:dyDescent="0.25">
      <c r="D45" s="458">
        <v>2030</v>
      </c>
      <c r="E45" s="459"/>
      <c r="F45" s="460">
        <v>2039</v>
      </c>
      <c r="G45" s="459"/>
      <c r="H45" s="460">
        <v>2048</v>
      </c>
      <c r="I45" s="459"/>
      <c r="J45" s="460">
        <v>2057</v>
      </c>
      <c r="K45" s="461"/>
      <c r="L45" s="460">
        <v>2066</v>
      </c>
      <c r="M45" s="462"/>
      <c r="O45" s="344"/>
      <c r="P45" s="87"/>
      <c r="R45" s="344"/>
      <c r="U45" s="344"/>
      <c r="X45" s="344"/>
      <c r="AA45" s="344"/>
      <c r="AD45" s="344"/>
      <c r="AG45" s="344"/>
    </row>
    <row r="48" spans="1:42" x14ac:dyDescent="0.25">
      <c r="A48" s="463"/>
      <c r="B48" s="464"/>
      <c r="C48" s="464"/>
      <c r="D48" s="465"/>
      <c r="E48" s="464"/>
      <c r="F48" s="464"/>
      <c r="G48" s="465"/>
      <c r="H48" s="464"/>
      <c r="I48" s="464"/>
      <c r="J48" s="465"/>
      <c r="K48" s="464"/>
      <c r="L48" s="464"/>
      <c r="M48" s="465"/>
      <c r="N48" s="464"/>
      <c r="O48" s="464"/>
      <c r="P48" s="465"/>
      <c r="Q48" s="464"/>
      <c r="R48" s="464"/>
      <c r="S48" s="466"/>
      <c r="T48" s="464"/>
      <c r="U48" s="464"/>
      <c r="V48" s="466"/>
      <c r="W48" s="463"/>
      <c r="X48" s="463"/>
      <c r="Y48" s="466"/>
      <c r="Z48" s="463"/>
      <c r="AA48" s="463"/>
      <c r="AB48" s="466"/>
      <c r="AC48" s="463"/>
      <c r="AD48" s="463"/>
      <c r="AE48" s="466"/>
      <c r="AF48" s="463"/>
      <c r="AG48" s="463"/>
      <c r="AH48" s="466"/>
      <c r="AI48" s="463"/>
      <c r="AJ48" s="463"/>
      <c r="AK48" s="466"/>
      <c r="AL48" s="463"/>
      <c r="AM48" s="463"/>
      <c r="AN48" s="463"/>
      <c r="AO48" s="463"/>
      <c r="AP48" s="463"/>
    </row>
    <row r="49" spans="1:42" x14ac:dyDescent="0.25">
      <c r="A49" s="463"/>
      <c r="B49" s="464"/>
      <c r="C49" s="464"/>
      <c r="D49" s="465"/>
      <c r="E49" s="464"/>
      <c r="F49" s="464"/>
      <c r="G49" s="465"/>
      <c r="H49" s="464"/>
      <c r="I49" s="464"/>
      <c r="J49" s="465"/>
      <c r="K49" s="464"/>
      <c r="L49" s="464"/>
      <c r="M49" s="465"/>
      <c r="N49" s="464"/>
      <c r="O49" s="464"/>
      <c r="P49" s="465"/>
      <c r="Q49" s="464"/>
      <c r="R49" s="464"/>
      <c r="S49" s="466"/>
      <c r="T49" s="464"/>
      <c r="U49" s="464"/>
      <c r="V49" s="466"/>
      <c r="W49" s="463"/>
      <c r="X49" s="463"/>
      <c r="Y49" s="466"/>
      <c r="Z49" s="463"/>
      <c r="AA49" s="463"/>
      <c r="AB49" s="466"/>
      <c r="AC49" s="463"/>
      <c r="AD49" s="463"/>
      <c r="AE49" s="466"/>
      <c r="AF49" s="463"/>
      <c r="AG49" s="463"/>
      <c r="AH49" s="466"/>
      <c r="AI49" s="463"/>
      <c r="AJ49" s="463"/>
      <c r="AK49" s="466"/>
      <c r="AL49" s="463"/>
      <c r="AM49" s="463"/>
      <c r="AN49" s="463"/>
      <c r="AO49" s="463"/>
      <c r="AP49" s="463"/>
    </row>
    <row r="50" spans="1:42" x14ac:dyDescent="0.25">
      <c r="A50" s="463"/>
      <c r="B50" s="616"/>
      <c r="C50" s="616"/>
      <c r="D50" s="616"/>
      <c r="E50" s="616"/>
      <c r="F50" s="616"/>
      <c r="G50" s="616"/>
      <c r="H50" s="616"/>
      <c r="I50" s="616"/>
      <c r="J50" s="616"/>
      <c r="K50" s="616"/>
      <c r="L50" s="616"/>
      <c r="M50" s="616"/>
      <c r="N50" s="616"/>
      <c r="O50" s="616"/>
      <c r="P50" s="616"/>
      <c r="Q50" s="616"/>
      <c r="R50" s="616"/>
      <c r="S50" s="616"/>
      <c r="T50" s="616"/>
      <c r="U50" s="616"/>
      <c r="V50" s="616"/>
      <c r="W50" s="616"/>
      <c r="X50" s="616"/>
      <c r="Y50" s="616"/>
      <c r="Z50" s="616"/>
      <c r="AA50" s="616"/>
      <c r="AB50" s="616"/>
      <c r="AC50" s="616"/>
      <c r="AD50" s="616"/>
      <c r="AE50" s="616"/>
      <c r="AF50" s="616"/>
      <c r="AG50" s="616"/>
      <c r="AH50" s="616"/>
      <c r="AI50" s="616"/>
      <c r="AJ50" s="616"/>
      <c r="AK50" s="616"/>
      <c r="AL50" s="616"/>
      <c r="AM50" s="616"/>
      <c r="AN50" s="616"/>
      <c r="AO50" s="616"/>
      <c r="AP50" s="463"/>
    </row>
    <row r="51" spans="1:42" x14ac:dyDescent="0.25">
      <c r="A51" s="463"/>
      <c r="B51" s="616"/>
      <c r="C51" s="616"/>
      <c r="D51" s="616"/>
      <c r="E51" s="616"/>
      <c r="F51" s="616"/>
      <c r="G51" s="616"/>
      <c r="H51" s="616"/>
      <c r="I51" s="616"/>
      <c r="J51" s="616"/>
      <c r="K51" s="616"/>
      <c r="L51" s="616"/>
      <c r="M51" s="616"/>
      <c r="N51" s="616"/>
      <c r="O51" s="616"/>
      <c r="P51" s="616"/>
      <c r="Q51" s="616"/>
      <c r="R51" s="616"/>
      <c r="S51" s="616"/>
      <c r="T51" s="616"/>
      <c r="U51" s="616"/>
      <c r="V51" s="616"/>
      <c r="W51" s="616"/>
      <c r="X51" s="616"/>
      <c r="Y51" s="616"/>
      <c r="Z51" s="616"/>
      <c r="AA51" s="616"/>
      <c r="AB51" s="616"/>
      <c r="AC51" s="616"/>
      <c r="AD51" s="616"/>
      <c r="AE51" s="616"/>
      <c r="AF51" s="616"/>
      <c r="AG51" s="616"/>
      <c r="AH51" s="616"/>
      <c r="AI51" s="616"/>
      <c r="AJ51" s="616"/>
      <c r="AK51" s="616"/>
      <c r="AL51" s="616"/>
      <c r="AM51" s="616"/>
      <c r="AN51" s="616"/>
      <c r="AO51" s="616"/>
      <c r="AP51" s="463"/>
    </row>
    <row r="52" spans="1:42" ht="18.75" x14ac:dyDescent="0.25">
      <c r="A52" s="463"/>
      <c r="B52" s="464"/>
      <c r="C52" s="464"/>
      <c r="D52" s="467"/>
      <c r="E52" s="464"/>
      <c r="F52" s="464"/>
      <c r="G52" s="467"/>
      <c r="H52" s="464"/>
      <c r="I52" s="464"/>
      <c r="J52" s="467"/>
      <c r="K52" s="464"/>
      <c r="L52" s="464"/>
      <c r="M52" s="467"/>
      <c r="N52" s="464"/>
      <c r="O52" s="464"/>
      <c r="P52" s="467"/>
      <c r="Q52" s="464"/>
      <c r="R52" s="464"/>
      <c r="S52" s="467"/>
      <c r="T52" s="464"/>
      <c r="U52" s="464"/>
      <c r="V52" s="467"/>
      <c r="W52" s="464"/>
      <c r="X52" s="464"/>
      <c r="Y52" s="467"/>
      <c r="Z52" s="464"/>
      <c r="AA52" s="464"/>
      <c r="AB52" s="467"/>
      <c r="AC52" s="464"/>
      <c r="AD52" s="464"/>
      <c r="AE52" s="467"/>
      <c r="AF52" s="464"/>
      <c r="AG52" s="464"/>
      <c r="AH52" s="467"/>
      <c r="AI52" s="464"/>
      <c r="AJ52" s="464"/>
      <c r="AK52" s="467"/>
      <c r="AL52" s="464"/>
      <c r="AM52" s="464"/>
      <c r="AN52" s="467"/>
      <c r="AO52" s="468"/>
      <c r="AP52" s="463"/>
    </row>
    <row r="53" spans="1:42" x14ac:dyDescent="0.25">
      <c r="A53" s="463"/>
      <c r="B53" s="464"/>
      <c r="C53" s="469"/>
      <c r="D53" s="470"/>
      <c r="E53" s="464"/>
      <c r="F53" s="469"/>
      <c r="G53" s="470"/>
      <c r="H53" s="464"/>
      <c r="I53" s="469"/>
      <c r="J53" s="470"/>
      <c r="K53" s="464"/>
      <c r="L53" s="469"/>
      <c r="M53" s="470"/>
      <c r="N53" s="464"/>
      <c r="O53" s="469"/>
      <c r="P53" s="470"/>
      <c r="Q53" s="464"/>
      <c r="R53" s="469"/>
      <c r="S53" s="470"/>
      <c r="T53" s="464"/>
      <c r="U53" s="469"/>
      <c r="V53" s="470"/>
      <c r="W53" s="464"/>
      <c r="X53" s="469"/>
      <c r="Y53" s="470"/>
      <c r="Z53" s="464"/>
      <c r="AA53" s="469"/>
      <c r="AB53" s="470"/>
      <c r="AC53" s="464"/>
      <c r="AD53" s="469"/>
      <c r="AE53" s="470"/>
      <c r="AF53" s="464"/>
      <c r="AG53" s="469"/>
      <c r="AH53" s="470"/>
      <c r="AI53" s="464"/>
      <c r="AJ53" s="469"/>
      <c r="AK53" s="470"/>
      <c r="AL53" s="464"/>
      <c r="AM53" s="469"/>
      <c r="AN53" s="470"/>
      <c r="AO53" s="617"/>
      <c r="AP53" s="463"/>
    </row>
    <row r="54" spans="1:42" x14ac:dyDescent="0.25">
      <c r="A54" s="463"/>
      <c r="B54" s="464"/>
      <c r="C54" s="469"/>
      <c r="D54" s="470"/>
      <c r="E54" s="464"/>
      <c r="F54" s="469"/>
      <c r="G54" s="470"/>
      <c r="H54" s="464"/>
      <c r="I54" s="469"/>
      <c r="J54" s="470"/>
      <c r="K54" s="464"/>
      <c r="L54" s="469"/>
      <c r="M54" s="470"/>
      <c r="N54" s="464"/>
      <c r="O54" s="469"/>
      <c r="P54" s="470"/>
      <c r="Q54" s="464"/>
      <c r="R54" s="469"/>
      <c r="S54" s="470"/>
      <c r="T54" s="464"/>
      <c r="U54" s="469"/>
      <c r="V54" s="470"/>
      <c r="W54" s="464"/>
      <c r="X54" s="469"/>
      <c r="Y54" s="470"/>
      <c r="Z54" s="464"/>
      <c r="AA54" s="469"/>
      <c r="AB54" s="470"/>
      <c r="AC54" s="464"/>
      <c r="AD54" s="469"/>
      <c r="AE54" s="470"/>
      <c r="AF54" s="464"/>
      <c r="AG54" s="469"/>
      <c r="AH54" s="470"/>
      <c r="AI54" s="464"/>
      <c r="AJ54" s="469"/>
      <c r="AK54" s="470"/>
      <c r="AL54" s="464"/>
      <c r="AM54" s="469"/>
      <c r="AN54" s="470"/>
      <c r="AO54" s="617"/>
      <c r="AP54" s="463"/>
    </row>
    <row r="55" spans="1:42" x14ac:dyDescent="0.25">
      <c r="A55" s="463"/>
      <c r="B55" s="464"/>
      <c r="C55" s="469"/>
      <c r="D55" s="470"/>
      <c r="E55" s="464"/>
      <c r="F55" s="469"/>
      <c r="G55" s="470"/>
      <c r="H55" s="464"/>
      <c r="I55" s="469"/>
      <c r="J55" s="470"/>
      <c r="K55" s="464"/>
      <c r="L55" s="469"/>
      <c r="M55" s="470"/>
      <c r="N55" s="464"/>
      <c r="O55" s="469"/>
      <c r="P55" s="470"/>
      <c r="Q55" s="464"/>
      <c r="R55" s="469"/>
      <c r="S55" s="470"/>
      <c r="T55" s="464"/>
      <c r="U55" s="469"/>
      <c r="V55" s="470"/>
      <c r="W55" s="464"/>
      <c r="X55" s="469"/>
      <c r="Y55" s="470"/>
      <c r="Z55" s="464"/>
      <c r="AA55" s="469"/>
      <c r="AB55" s="470"/>
      <c r="AC55" s="464"/>
      <c r="AD55" s="469"/>
      <c r="AE55" s="470"/>
      <c r="AF55" s="464"/>
      <c r="AG55" s="469"/>
      <c r="AH55" s="470"/>
      <c r="AI55" s="464"/>
      <c r="AJ55" s="469"/>
      <c r="AK55" s="470"/>
      <c r="AL55" s="464"/>
      <c r="AM55" s="469"/>
      <c r="AN55" s="470"/>
      <c r="AO55" s="617"/>
      <c r="AP55" s="463"/>
    </row>
    <row r="56" spans="1:42" x14ac:dyDescent="0.25">
      <c r="A56" s="463"/>
      <c r="B56" s="464"/>
      <c r="C56" s="469"/>
      <c r="D56" s="470"/>
      <c r="E56" s="464"/>
      <c r="F56" s="469"/>
      <c r="G56" s="470"/>
      <c r="H56" s="464"/>
      <c r="I56" s="469"/>
      <c r="J56" s="470"/>
      <c r="K56" s="464"/>
      <c r="L56" s="469"/>
      <c r="M56" s="470"/>
      <c r="N56" s="464"/>
      <c r="O56" s="469"/>
      <c r="P56" s="470"/>
      <c r="Q56" s="464"/>
      <c r="R56" s="469"/>
      <c r="S56" s="470"/>
      <c r="T56" s="464"/>
      <c r="U56" s="469"/>
      <c r="V56" s="470"/>
      <c r="W56" s="464"/>
      <c r="X56" s="469"/>
      <c r="Y56" s="470"/>
      <c r="Z56" s="464"/>
      <c r="AA56" s="469"/>
      <c r="AB56" s="470"/>
      <c r="AC56" s="464"/>
      <c r="AD56" s="469"/>
      <c r="AE56" s="470"/>
      <c r="AF56" s="464"/>
      <c r="AG56" s="469"/>
      <c r="AH56" s="470"/>
      <c r="AI56" s="464"/>
      <c r="AJ56" s="469"/>
      <c r="AK56" s="470"/>
      <c r="AL56" s="464"/>
      <c r="AM56" s="469"/>
      <c r="AN56" s="470"/>
      <c r="AO56" s="617"/>
      <c r="AP56" s="463"/>
    </row>
    <row r="57" spans="1:42" x14ac:dyDescent="0.25">
      <c r="A57" s="463"/>
      <c r="B57" s="464"/>
      <c r="C57" s="469"/>
      <c r="D57" s="470"/>
      <c r="E57" s="464"/>
      <c r="F57" s="469"/>
      <c r="G57" s="470"/>
      <c r="H57" s="464"/>
      <c r="I57" s="469"/>
      <c r="J57" s="470"/>
      <c r="K57" s="464"/>
      <c r="L57" s="469"/>
      <c r="M57" s="470"/>
      <c r="N57" s="464"/>
      <c r="O57" s="469"/>
      <c r="P57" s="470"/>
      <c r="Q57" s="464"/>
      <c r="R57" s="469"/>
      <c r="S57" s="470"/>
      <c r="T57" s="464"/>
      <c r="U57" s="469"/>
      <c r="V57" s="470"/>
      <c r="W57" s="464"/>
      <c r="X57" s="469"/>
      <c r="Y57" s="470"/>
      <c r="Z57" s="464"/>
      <c r="AA57" s="469"/>
      <c r="AB57" s="470"/>
      <c r="AC57" s="464"/>
      <c r="AD57" s="469"/>
      <c r="AE57" s="470"/>
      <c r="AF57" s="464"/>
      <c r="AG57" s="469"/>
      <c r="AH57" s="470"/>
      <c r="AI57" s="464"/>
      <c r="AJ57" s="469"/>
      <c r="AK57" s="470"/>
      <c r="AL57" s="464"/>
      <c r="AM57" s="469"/>
      <c r="AN57" s="470"/>
      <c r="AO57" s="617"/>
      <c r="AP57" s="463"/>
    </row>
    <row r="58" spans="1:42" x14ac:dyDescent="0.25">
      <c r="A58" s="463"/>
      <c r="B58" s="464"/>
      <c r="C58" s="469"/>
      <c r="D58" s="470"/>
      <c r="E58" s="464"/>
      <c r="F58" s="469"/>
      <c r="G58" s="470"/>
      <c r="H58" s="464"/>
      <c r="I58" s="469"/>
      <c r="J58" s="470"/>
      <c r="K58" s="464"/>
      <c r="L58" s="469"/>
      <c r="M58" s="470"/>
      <c r="N58" s="464"/>
      <c r="O58" s="469"/>
      <c r="P58" s="470"/>
      <c r="Q58" s="464"/>
      <c r="R58" s="469"/>
      <c r="S58" s="470"/>
      <c r="T58" s="464"/>
      <c r="U58" s="469"/>
      <c r="V58" s="470"/>
      <c r="W58" s="464"/>
      <c r="X58" s="469"/>
      <c r="Y58" s="470"/>
      <c r="Z58" s="464"/>
      <c r="AA58" s="469"/>
      <c r="AB58" s="470"/>
      <c r="AC58" s="464"/>
      <c r="AD58" s="469"/>
      <c r="AE58" s="470"/>
      <c r="AF58" s="464"/>
      <c r="AG58" s="469"/>
      <c r="AH58" s="470"/>
      <c r="AI58" s="464"/>
      <c r="AJ58" s="469"/>
      <c r="AK58" s="470"/>
      <c r="AL58" s="618"/>
      <c r="AM58" s="618"/>
      <c r="AN58" s="618"/>
      <c r="AO58" s="617"/>
      <c r="AP58" s="463"/>
    </row>
    <row r="59" spans="1:42" x14ac:dyDescent="0.25">
      <c r="A59" s="463"/>
      <c r="B59" s="464"/>
      <c r="C59" s="469"/>
      <c r="D59" s="470"/>
      <c r="E59" s="464"/>
      <c r="F59" s="469"/>
      <c r="G59" s="470"/>
      <c r="H59" s="464"/>
      <c r="I59" s="469"/>
      <c r="J59" s="470"/>
      <c r="K59" s="464"/>
      <c r="L59" s="469"/>
      <c r="M59" s="470"/>
      <c r="N59" s="464"/>
      <c r="O59" s="469"/>
      <c r="P59" s="470"/>
      <c r="Q59" s="464"/>
      <c r="R59" s="469"/>
      <c r="S59" s="470"/>
      <c r="T59" s="464"/>
      <c r="U59" s="469"/>
      <c r="V59" s="470"/>
      <c r="W59" s="464"/>
      <c r="X59" s="469"/>
      <c r="Y59" s="470"/>
      <c r="Z59" s="464"/>
      <c r="AA59" s="469"/>
      <c r="AB59" s="470"/>
      <c r="AC59" s="464"/>
      <c r="AD59" s="469"/>
      <c r="AE59" s="470"/>
      <c r="AF59" s="464"/>
      <c r="AG59" s="469"/>
      <c r="AH59" s="470"/>
      <c r="AI59" s="464"/>
      <c r="AJ59" s="469"/>
      <c r="AK59" s="470"/>
      <c r="AL59" s="618"/>
      <c r="AM59" s="618"/>
      <c r="AN59" s="618"/>
      <c r="AO59" s="617"/>
      <c r="AP59" s="463"/>
    </row>
    <row r="60" spans="1:42" x14ac:dyDescent="0.25">
      <c r="A60" s="463"/>
      <c r="B60" s="464"/>
      <c r="C60" s="469"/>
      <c r="D60" s="470"/>
      <c r="E60" s="464"/>
      <c r="F60" s="469"/>
      <c r="G60" s="470"/>
      <c r="H60" s="464"/>
      <c r="I60" s="469"/>
      <c r="J60" s="470"/>
      <c r="K60" s="464"/>
      <c r="L60" s="469"/>
      <c r="M60" s="470"/>
      <c r="N60" s="464"/>
      <c r="O60" s="469"/>
      <c r="P60" s="470"/>
      <c r="Q60" s="464"/>
      <c r="R60" s="469"/>
      <c r="S60" s="470"/>
      <c r="T60" s="464"/>
      <c r="U60" s="469"/>
      <c r="V60" s="470"/>
      <c r="W60" s="464"/>
      <c r="X60" s="469"/>
      <c r="Y60" s="470"/>
      <c r="Z60" s="464"/>
      <c r="AA60" s="469"/>
      <c r="AB60" s="470"/>
      <c r="AC60" s="464"/>
      <c r="AD60" s="469"/>
      <c r="AE60" s="470"/>
      <c r="AF60" s="464"/>
      <c r="AG60" s="469"/>
      <c r="AH60" s="470"/>
      <c r="AI60" s="464"/>
      <c r="AJ60" s="469"/>
      <c r="AK60" s="470"/>
      <c r="AL60" s="618"/>
      <c r="AM60" s="618"/>
      <c r="AN60" s="618"/>
      <c r="AO60" s="617"/>
      <c r="AP60" s="463"/>
    </row>
    <row r="61" spans="1:42" x14ac:dyDescent="0.25">
      <c r="A61" s="463"/>
      <c r="B61" s="464"/>
      <c r="C61" s="469"/>
      <c r="D61" s="470"/>
      <c r="E61" s="464"/>
      <c r="F61" s="469"/>
      <c r="G61" s="470"/>
      <c r="H61" s="464"/>
      <c r="I61" s="469"/>
      <c r="J61" s="470"/>
      <c r="K61" s="464"/>
      <c r="L61" s="469"/>
      <c r="M61" s="470"/>
      <c r="N61" s="464"/>
      <c r="O61" s="469"/>
      <c r="P61" s="470"/>
      <c r="Q61" s="464"/>
      <c r="R61" s="469"/>
      <c r="S61" s="470"/>
      <c r="T61" s="464"/>
      <c r="U61" s="469"/>
      <c r="V61" s="470"/>
      <c r="W61" s="464"/>
      <c r="X61" s="469"/>
      <c r="Y61" s="470"/>
      <c r="Z61" s="464"/>
      <c r="AA61" s="469"/>
      <c r="AB61" s="470"/>
      <c r="AC61" s="464"/>
      <c r="AD61" s="469"/>
      <c r="AE61" s="470"/>
      <c r="AF61" s="464"/>
      <c r="AG61" s="469"/>
      <c r="AH61" s="470"/>
      <c r="AI61" s="464"/>
      <c r="AJ61" s="469"/>
      <c r="AK61" s="470"/>
      <c r="AL61" s="618"/>
      <c r="AM61" s="618"/>
      <c r="AN61" s="618"/>
      <c r="AO61" s="617"/>
      <c r="AP61" s="463"/>
    </row>
    <row r="62" spans="1:42" x14ac:dyDescent="0.25">
      <c r="A62" s="463"/>
      <c r="B62" s="464"/>
      <c r="C62" s="469"/>
      <c r="D62" s="470"/>
      <c r="E62" s="464"/>
      <c r="F62" s="469"/>
      <c r="G62" s="470"/>
      <c r="H62" s="464"/>
      <c r="I62" s="469"/>
      <c r="J62" s="470"/>
      <c r="K62" s="464"/>
      <c r="L62" s="469"/>
      <c r="M62" s="470"/>
      <c r="N62" s="464"/>
      <c r="O62" s="469"/>
      <c r="P62" s="470"/>
      <c r="Q62" s="464"/>
      <c r="R62" s="469"/>
      <c r="S62" s="470"/>
      <c r="T62" s="464"/>
      <c r="U62" s="469"/>
      <c r="V62" s="470"/>
      <c r="W62" s="464"/>
      <c r="X62" s="469"/>
      <c r="Y62" s="470"/>
      <c r="Z62" s="464"/>
      <c r="AA62" s="469"/>
      <c r="AB62" s="470"/>
      <c r="AC62" s="464"/>
      <c r="AD62" s="469"/>
      <c r="AE62" s="470"/>
      <c r="AF62" s="464"/>
      <c r="AG62" s="469"/>
      <c r="AH62" s="470"/>
      <c r="AI62" s="464"/>
      <c r="AJ62" s="469"/>
      <c r="AK62" s="470"/>
      <c r="AL62" s="618"/>
      <c r="AM62" s="618"/>
      <c r="AN62" s="618"/>
      <c r="AO62" s="617"/>
      <c r="AP62" s="463"/>
    </row>
    <row r="63" spans="1:42" x14ac:dyDescent="0.25">
      <c r="A63" s="463"/>
      <c r="B63" s="464"/>
      <c r="C63" s="469"/>
      <c r="D63" s="470"/>
      <c r="E63" s="464"/>
      <c r="F63" s="469"/>
      <c r="G63" s="470"/>
      <c r="H63" s="464"/>
      <c r="I63" s="469"/>
      <c r="J63" s="470"/>
      <c r="K63" s="464"/>
      <c r="L63" s="469"/>
      <c r="M63" s="470"/>
      <c r="N63" s="464"/>
      <c r="O63" s="469"/>
      <c r="P63" s="470"/>
      <c r="Q63" s="464"/>
      <c r="R63" s="469"/>
      <c r="S63" s="470"/>
      <c r="T63" s="464"/>
      <c r="U63" s="469"/>
      <c r="V63" s="470"/>
      <c r="W63" s="464"/>
      <c r="X63" s="469"/>
      <c r="Y63" s="470"/>
      <c r="Z63" s="464"/>
      <c r="AA63" s="469"/>
      <c r="AB63" s="470"/>
      <c r="AC63" s="464"/>
      <c r="AD63" s="469"/>
      <c r="AE63" s="470"/>
      <c r="AF63" s="464"/>
      <c r="AG63" s="469"/>
      <c r="AH63" s="470"/>
      <c r="AI63" s="464"/>
      <c r="AJ63" s="469"/>
      <c r="AK63" s="470"/>
      <c r="AL63" s="618"/>
      <c r="AM63" s="618"/>
      <c r="AN63" s="618"/>
      <c r="AO63" s="617"/>
      <c r="AP63" s="463"/>
    </row>
    <row r="64" spans="1:42" x14ac:dyDescent="0.25">
      <c r="A64" s="463"/>
      <c r="B64" s="464"/>
      <c r="C64" s="469"/>
      <c r="D64" s="470"/>
      <c r="E64" s="464"/>
      <c r="F64" s="469"/>
      <c r="G64" s="470"/>
      <c r="H64" s="464"/>
      <c r="I64" s="469"/>
      <c r="J64" s="470"/>
      <c r="K64" s="464"/>
      <c r="L64" s="469"/>
      <c r="M64" s="470"/>
      <c r="N64" s="464"/>
      <c r="O64" s="469"/>
      <c r="P64" s="470"/>
      <c r="Q64" s="464"/>
      <c r="R64" s="469"/>
      <c r="S64" s="470"/>
      <c r="T64" s="464"/>
      <c r="U64" s="469"/>
      <c r="V64" s="470"/>
      <c r="W64" s="464"/>
      <c r="X64" s="469"/>
      <c r="Y64" s="470"/>
      <c r="Z64" s="464"/>
      <c r="AA64" s="469"/>
      <c r="AB64" s="470"/>
      <c r="AC64" s="464"/>
      <c r="AD64" s="469"/>
      <c r="AE64" s="470"/>
      <c r="AF64" s="464"/>
      <c r="AG64" s="469"/>
      <c r="AH64" s="470"/>
      <c r="AI64" s="464"/>
      <c r="AJ64" s="469"/>
      <c r="AK64" s="470"/>
      <c r="AL64" s="618"/>
      <c r="AM64" s="618"/>
      <c r="AN64" s="618"/>
      <c r="AO64" s="617"/>
      <c r="AP64" s="463"/>
    </row>
    <row r="65" spans="1:42" x14ac:dyDescent="0.25">
      <c r="A65" s="463"/>
      <c r="B65" s="464"/>
      <c r="C65" s="469"/>
      <c r="D65" s="470"/>
      <c r="E65" s="464"/>
      <c r="F65" s="469"/>
      <c r="G65" s="470"/>
      <c r="H65" s="464"/>
      <c r="I65" s="469"/>
      <c r="J65" s="470"/>
      <c r="K65" s="464"/>
      <c r="L65" s="469"/>
      <c r="M65" s="470"/>
      <c r="N65" s="464"/>
      <c r="O65" s="469"/>
      <c r="P65" s="470"/>
      <c r="Q65" s="464"/>
      <c r="R65" s="469"/>
      <c r="S65" s="470"/>
      <c r="T65" s="464"/>
      <c r="U65" s="469"/>
      <c r="V65" s="470"/>
      <c r="W65" s="464"/>
      <c r="X65" s="469"/>
      <c r="Y65" s="470"/>
      <c r="Z65" s="464"/>
      <c r="AA65" s="469"/>
      <c r="AB65" s="470"/>
      <c r="AC65" s="464"/>
      <c r="AD65" s="469"/>
      <c r="AE65" s="470"/>
      <c r="AF65" s="464"/>
      <c r="AG65" s="469"/>
      <c r="AH65" s="470"/>
      <c r="AI65" s="464"/>
      <c r="AJ65" s="469"/>
      <c r="AK65" s="470"/>
      <c r="AL65" s="618"/>
      <c r="AM65" s="618"/>
      <c r="AN65" s="618"/>
      <c r="AO65" s="617"/>
      <c r="AP65" s="463"/>
    </row>
    <row r="66" spans="1:42" x14ac:dyDescent="0.25">
      <c r="A66" s="463"/>
      <c r="B66" s="464"/>
      <c r="C66" s="469"/>
      <c r="D66" s="470"/>
      <c r="E66" s="464"/>
      <c r="F66" s="469"/>
      <c r="G66" s="470"/>
      <c r="H66" s="464"/>
      <c r="I66" s="469"/>
      <c r="J66" s="470"/>
      <c r="K66" s="464"/>
      <c r="L66" s="469"/>
      <c r="M66" s="470"/>
      <c r="N66" s="464"/>
      <c r="O66" s="469"/>
      <c r="P66" s="470"/>
      <c r="Q66" s="464"/>
      <c r="R66" s="469"/>
      <c r="S66" s="470"/>
      <c r="T66" s="464"/>
      <c r="U66" s="469"/>
      <c r="V66" s="470"/>
      <c r="W66" s="464"/>
      <c r="X66" s="469"/>
      <c r="Y66" s="470"/>
      <c r="Z66" s="464"/>
      <c r="AA66" s="469"/>
      <c r="AB66" s="470"/>
      <c r="AC66" s="464"/>
      <c r="AD66" s="469"/>
      <c r="AE66" s="470"/>
      <c r="AF66" s="464"/>
      <c r="AG66" s="469"/>
      <c r="AH66" s="470"/>
      <c r="AI66" s="464"/>
      <c r="AJ66" s="469"/>
      <c r="AK66" s="470"/>
      <c r="AL66" s="618"/>
      <c r="AM66" s="618"/>
      <c r="AN66" s="618"/>
      <c r="AO66" s="617"/>
      <c r="AP66" s="463"/>
    </row>
    <row r="67" spans="1:42" x14ac:dyDescent="0.25">
      <c r="A67" s="463"/>
      <c r="B67" s="464"/>
      <c r="C67" s="469"/>
      <c r="D67" s="470"/>
      <c r="E67" s="464"/>
      <c r="F67" s="469"/>
      <c r="G67" s="470"/>
      <c r="H67" s="464"/>
      <c r="I67" s="469"/>
      <c r="J67" s="470"/>
      <c r="K67" s="464"/>
      <c r="L67" s="469"/>
      <c r="M67" s="470"/>
      <c r="N67" s="464"/>
      <c r="O67" s="469"/>
      <c r="P67" s="470"/>
      <c r="Q67" s="464"/>
      <c r="R67" s="469"/>
      <c r="S67" s="470"/>
      <c r="T67" s="464"/>
      <c r="U67" s="469"/>
      <c r="V67" s="470"/>
      <c r="W67" s="464"/>
      <c r="X67" s="469"/>
      <c r="Y67" s="470"/>
      <c r="Z67" s="464"/>
      <c r="AA67" s="469"/>
      <c r="AB67" s="470"/>
      <c r="AC67" s="464"/>
      <c r="AD67" s="469"/>
      <c r="AE67" s="470"/>
      <c r="AF67" s="464"/>
      <c r="AG67" s="469"/>
      <c r="AH67" s="470"/>
      <c r="AI67" s="464"/>
      <c r="AJ67" s="469"/>
      <c r="AK67" s="470"/>
      <c r="AL67" s="618"/>
      <c r="AM67" s="618"/>
      <c r="AN67" s="618"/>
      <c r="AO67" s="617"/>
      <c r="AP67" s="463"/>
    </row>
    <row r="68" spans="1:42" x14ac:dyDescent="0.25">
      <c r="A68" s="463"/>
      <c r="B68" s="464"/>
      <c r="C68" s="469"/>
      <c r="D68" s="470"/>
      <c r="E68" s="464"/>
      <c r="F68" s="469"/>
      <c r="G68" s="470"/>
      <c r="H68" s="464"/>
      <c r="I68" s="469"/>
      <c r="J68" s="470"/>
      <c r="K68" s="464"/>
      <c r="L68" s="469"/>
      <c r="M68" s="470"/>
      <c r="N68" s="464"/>
      <c r="O68" s="469"/>
      <c r="P68" s="470"/>
      <c r="Q68" s="464"/>
      <c r="R68" s="469"/>
      <c r="S68" s="470"/>
      <c r="T68" s="464"/>
      <c r="U68" s="469"/>
      <c r="V68" s="470"/>
      <c r="W68" s="464"/>
      <c r="X68" s="469"/>
      <c r="Y68" s="470"/>
      <c r="Z68" s="464"/>
      <c r="AA68" s="469"/>
      <c r="AB68" s="470"/>
      <c r="AC68" s="464"/>
      <c r="AD68" s="469"/>
      <c r="AE68" s="470"/>
      <c r="AF68" s="464"/>
      <c r="AG68" s="469"/>
      <c r="AH68" s="470"/>
      <c r="AI68" s="464"/>
      <c r="AJ68" s="469"/>
      <c r="AK68" s="470"/>
      <c r="AL68" s="618"/>
      <c r="AM68" s="618"/>
      <c r="AN68" s="618"/>
      <c r="AO68" s="617"/>
      <c r="AP68" s="463"/>
    </row>
    <row r="69" spans="1:42" x14ac:dyDescent="0.25">
      <c r="A69" s="463"/>
      <c r="B69" s="464"/>
      <c r="C69" s="469"/>
      <c r="D69" s="470"/>
      <c r="E69" s="464"/>
      <c r="F69" s="469"/>
      <c r="G69" s="470"/>
      <c r="H69" s="464"/>
      <c r="I69" s="469"/>
      <c r="J69" s="470"/>
      <c r="K69" s="464"/>
      <c r="L69" s="469"/>
      <c r="M69" s="470"/>
      <c r="N69" s="464"/>
      <c r="O69" s="469"/>
      <c r="P69" s="470"/>
      <c r="Q69" s="464"/>
      <c r="R69" s="469"/>
      <c r="S69" s="470"/>
      <c r="T69" s="464"/>
      <c r="U69" s="469"/>
      <c r="V69" s="470"/>
      <c r="W69" s="464"/>
      <c r="X69" s="469"/>
      <c r="Y69" s="470"/>
      <c r="Z69" s="464"/>
      <c r="AA69" s="469"/>
      <c r="AB69" s="470"/>
      <c r="AC69" s="464"/>
      <c r="AD69" s="469"/>
      <c r="AE69" s="470"/>
      <c r="AF69" s="464"/>
      <c r="AG69" s="469"/>
      <c r="AH69" s="470"/>
      <c r="AI69" s="464"/>
      <c r="AJ69" s="469"/>
      <c r="AK69" s="470"/>
      <c r="AL69" s="618"/>
      <c r="AM69" s="618"/>
      <c r="AN69" s="618"/>
      <c r="AO69" s="617"/>
      <c r="AP69" s="463"/>
    </row>
    <row r="70" spans="1:42" x14ac:dyDescent="0.25">
      <c r="A70" s="463"/>
      <c r="B70" s="464"/>
      <c r="C70" s="469"/>
      <c r="D70" s="470"/>
      <c r="E70" s="464"/>
      <c r="F70" s="469"/>
      <c r="G70" s="470"/>
      <c r="H70" s="464"/>
      <c r="I70" s="469"/>
      <c r="J70" s="470"/>
      <c r="K70" s="464"/>
      <c r="L70" s="469"/>
      <c r="M70" s="470"/>
      <c r="N70" s="464"/>
      <c r="O70" s="469"/>
      <c r="P70" s="470"/>
      <c r="Q70" s="464"/>
      <c r="R70" s="469"/>
      <c r="S70" s="470"/>
      <c r="T70" s="464"/>
      <c r="U70" s="469"/>
      <c r="V70" s="470"/>
      <c r="W70" s="464"/>
      <c r="X70" s="469"/>
      <c r="Y70" s="470"/>
      <c r="Z70" s="464"/>
      <c r="AA70" s="469"/>
      <c r="AB70" s="470"/>
      <c r="AC70" s="464"/>
      <c r="AD70" s="469"/>
      <c r="AE70" s="470"/>
      <c r="AF70" s="464"/>
      <c r="AG70" s="469"/>
      <c r="AH70" s="470"/>
      <c r="AI70" s="464"/>
      <c r="AJ70" s="469"/>
      <c r="AK70" s="470"/>
      <c r="AL70" s="618"/>
      <c r="AM70" s="618"/>
      <c r="AN70" s="618"/>
      <c r="AO70" s="617"/>
      <c r="AP70" s="463"/>
    </row>
    <row r="71" spans="1:42" x14ac:dyDescent="0.25">
      <c r="A71" s="463"/>
      <c r="B71" s="464"/>
      <c r="C71" s="469"/>
      <c r="D71" s="470"/>
      <c r="E71" s="464"/>
      <c r="F71" s="469"/>
      <c r="G71" s="470"/>
      <c r="H71" s="464"/>
      <c r="I71" s="469"/>
      <c r="J71" s="470"/>
      <c r="K71" s="464"/>
      <c r="L71" s="469"/>
      <c r="M71" s="470"/>
      <c r="N71" s="464"/>
      <c r="O71" s="469"/>
      <c r="P71" s="470"/>
      <c r="Q71" s="464"/>
      <c r="R71" s="469"/>
      <c r="S71" s="470"/>
      <c r="T71" s="464"/>
      <c r="U71" s="469"/>
      <c r="V71" s="470"/>
      <c r="W71" s="464"/>
      <c r="X71" s="469"/>
      <c r="Y71" s="470"/>
      <c r="Z71" s="464"/>
      <c r="AA71" s="469"/>
      <c r="AB71" s="470"/>
      <c r="AC71" s="464"/>
      <c r="AD71" s="469"/>
      <c r="AE71" s="470"/>
      <c r="AF71" s="464"/>
      <c r="AG71" s="469"/>
      <c r="AH71" s="470"/>
      <c r="AI71" s="464"/>
      <c r="AJ71" s="469"/>
      <c r="AK71" s="470"/>
      <c r="AL71" s="618"/>
      <c r="AM71" s="618"/>
      <c r="AN71" s="618"/>
      <c r="AO71" s="617"/>
      <c r="AP71" s="463"/>
    </row>
    <row r="72" spans="1:42" x14ac:dyDescent="0.25">
      <c r="A72" s="463"/>
      <c r="B72" s="464"/>
      <c r="C72" s="469"/>
      <c r="D72" s="470"/>
      <c r="E72" s="464"/>
      <c r="F72" s="469"/>
      <c r="G72" s="470"/>
      <c r="H72" s="464"/>
      <c r="I72" s="469"/>
      <c r="J72" s="470"/>
      <c r="K72" s="464"/>
      <c r="L72" s="469"/>
      <c r="M72" s="470"/>
      <c r="N72" s="464"/>
      <c r="O72" s="469"/>
      <c r="P72" s="470"/>
      <c r="Q72" s="464"/>
      <c r="R72" s="469"/>
      <c r="S72" s="470"/>
      <c r="T72" s="464"/>
      <c r="U72" s="469"/>
      <c r="V72" s="470"/>
      <c r="W72" s="464"/>
      <c r="X72" s="469"/>
      <c r="Y72" s="470"/>
      <c r="Z72" s="464"/>
      <c r="AA72" s="469"/>
      <c r="AB72" s="470"/>
      <c r="AC72" s="464"/>
      <c r="AD72" s="469"/>
      <c r="AE72" s="470"/>
      <c r="AF72" s="464"/>
      <c r="AG72" s="469"/>
      <c r="AH72" s="470"/>
      <c r="AI72" s="464"/>
      <c r="AJ72" s="469"/>
      <c r="AK72" s="470"/>
      <c r="AL72" s="618"/>
      <c r="AM72" s="618"/>
      <c r="AN72" s="618"/>
      <c r="AO72" s="617"/>
      <c r="AP72" s="463"/>
    </row>
    <row r="73" spans="1:42" x14ac:dyDescent="0.25">
      <c r="A73" s="463"/>
      <c r="B73" s="464"/>
      <c r="C73" s="469"/>
      <c r="D73" s="470"/>
      <c r="E73" s="464"/>
      <c r="F73" s="469"/>
      <c r="G73" s="470"/>
      <c r="H73" s="464"/>
      <c r="I73" s="469"/>
      <c r="J73" s="470"/>
      <c r="K73" s="464"/>
      <c r="L73" s="469"/>
      <c r="M73" s="470"/>
      <c r="N73" s="464"/>
      <c r="O73" s="469"/>
      <c r="P73" s="470"/>
      <c r="Q73" s="464"/>
      <c r="R73" s="469"/>
      <c r="S73" s="470"/>
      <c r="T73" s="464"/>
      <c r="U73" s="469"/>
      <c r="V73" s="470"/>
      <c r="W73" s="464"/>
      <c r="X73" s="469"/>
      <c r="Y73" s="470"/>
      <c r="Z73" s="464"/>
      <c r="AA73" s="469"/>
      <c r="AB73" s="470"/>
      <c r="AC73" s="464"/>
      <c r="AD73" s="469"/>
      <c r="AE73" s="470"/>
      <c r="AF73" s="464"/>
      <c r="AG73" s="469"/>
      <c r="AH73" s="470"/>
      <c r="AI73" s="464"/>
      <c r="AJ73" s="469"/>
      <c r="AK73" s="470"/>
      <c r="AL73" s="618"/>
      <c r="AM73" s="618"/>
      <c r="AN73" s="618"/>
      <c r="AO73" s="617"/>
      <c r="AP73" s="463"/>
    </row>
    <row r="74" spans="1:42" x14ac:dyDescent="0.25">
      <c r="A74" s="463"/>
      <c r="B74" s="464"/>
      <c r="C74" s="469"/>
      <c r="D74" s="470"/>
      <c r="E74" s="464"/>
      <c r="F74" s="469"/>
      <c r="G74" s="470"/>
      <c r="H74" s="464"/>
      <c r="I74" s="469"/>
      <c r="J74" s="470"/>
      <c r="K74" s="464"/>
      <c r="L74" s="469"/>
      <c r="M74" s="470"/>
      <c r="N74" s="464"/>
      <c r="O74" s="469"/>
      <c r="P74" s="470"/>
      <c r="Q74" s="464"/>
      <c r="R74" s="469"/>
      <c r="S74" s="470"/>
      <c r="T74" s="464"/>
      <c r="U74" s="469"/>
      <c r="V74" s="470"/>
      <c r="W74" s="464"/>
      <c r="X74" s="469"/>
      <c r="Y74" s="470"/>
      <c r="Z74" s="464"/>
      <c r="AA74" s="469"/>
      <c r="AB74" s="470"/>
      <c r="AC74" s="464"/>
      <c r="AD74" s="469"/>
      <c r="AE74" s="470"/>
      <c r="AF74" s="464"/>
      <c r="AG74" s="469"/>
      <c r="AH74" s="470"/>
      <c r="AI74" s="464"/>
      <c r="AJ74" s="469"/>
      <c r="AK74" s="470"/>
      <c r="AL74" s="618"/>
      <c r="AM74" s="618"/>
      <c r="AN74" s="618"/>
      <c r="AO74" s="617"/>
      <c r="AP74" s="463"/>
    </row>
    <row r="75" spans="1:42" x14ac:dyDescent="0.25">
      <c r="A75" s="463"/>
      <c r="B75" s="464"/>
      <c r="C75" s="469"/>
      <c r="D75" s="470"/>
      <c r="E75" s="464"/>
      <c r="F75" s="469"/>
      <c r="G75" s="470"/>
      <c r="H75" s="464"/>
      <c r="I75" s="469"/>
      <c r="J75" s="470"/>
      <c r="K75" s="464"/>
      <c r="L75" s="469"/>
      <c r="M75" s="470"/>
      <c r="N75" s="464"/>
      <c r="O75" s="469"/>
      <c r="P75" s="470"/>
      <c r="Q75" s="464"/>
      <c r="R75" s="469"/>
      <c r="S75" s="470"/>
      <c r="T75" s="464"/>
      <c r="U75" s="469"/>
      <c r="V75" s="470"/>
      <c r="W75" s="464"/>
      <c r="X75" s="469"/>
      <c r="Y75" s="470"/>
      <c r="Z75" s="464"/>
      <c r="AA75" s="469"/>
      <c r="AB75" s="470"/>
      <c r="AC75" s="464"/>
      <c r="AD75" s="469"/>
      <c r="AE75" s="470"/>
      <c r="AF75" s="464"/>
      <c r="AG75" s="469"/>
      <c r="AH75" s="470"/>
      <c r="AI75" s="464"/>
      <c r="AJ75" s="469"/>
      <c r="AK75" s="470"/>
      <c r="AL75" s="618"/>
      <c r="AM75" s="618"/>
      <c r="AN75" s="618"/>
      <c r="AO75" s="617"/>
      <c r="AP75" s="463"/>
    </row>
    <row r="76" spans="1:42" x14ac:dyDescent="0.25">
      <c r="A76" s="463"/>
      <c r="B76" s="464"/>
      <c r="C76" s="469"/>
      <c r="D76" s="470"/>
      <c r="E76" s="464"/>
      <c r="F76" s="469"/>
      <c r="G76" s="470"/>
      <c r="H76" s="464"/>
      <c r="I76" s="469"/>
      <c r="J76" s="470"/>
      <c r="K76" s="464"/>
      <c r="L76" s="469"/>
      <c r="M76" s="470"/>
      <c r="N76" s="464"/>
      <c r="O76" s="469"/>
      <c r="P76" s="470"/>
      <c r="Q76" s="464"/>
      <c r="R76" s="469"/>
      <c r="S76" s="470"/>
      <c r="T76" s="464"/>
      <c r="U76" s="469"/>
      <c r="V76" s="470"/>
      <c r="W76" s="464"/>
      <c r="X76" s="469"/>
      <c r="Y76" s="470"/>
      <c r="Z76" s="464"/>
      <c r="AA76" s="469"/>
      <c r="AB76" s="470"/>
      <c r="AC76" s="464"/>
      <c r="AD76" s="469"/>
      <c r="AE76" s="470"/>
      <c r="AF76" s="464"/>
      <c r="AG76" s="469"/>
      <c r="AH76" s="470"/>
      <c r="AI76" s="464"/>
      <c r="AJ76" s="469"/>
      <c r="AK76" s="470"/>
      <c r="AL76" s="618"/>
      <c r="AM76" s="618"/>
      <c r="AN76" s="618"/>
      <c r="AO76" s="617"/>
      <c r="AP76" s="463"/>
    </row>
    <row r="77" spans="1:42" x14ac:dyDescent="0.25">
      <c r="A77" s="463"/>
      <c r="B77" s="464"/>
      <c r="C77" s="469"/>
      <c r="D77" s="470"/>
      <c r="E77" s="464"/>
      <c r="F77" s="469"/>
      <c r="G77" s="470"/>
      <c r="H77" s="464"/>
      <c r="I77" s="469"/>
      <c r="J77" s="470"/>
      <c r="K77" s="464"/>
      <c r="L77" s="469"/>
      <c r="M77" s="470"/>
      <c r="N77" s="464"/>
      <c r="O77" s="469"/>
      <c r="P77" s="470"/>
      <c r="Q77" s="464"/>
      <c r="R77" s="469"/>
      <c r="S77" s="470"/>
      <c r="T77" s="464"/>
      <c r="U77" s="469"/>
      <c r="V77" s="470"/>
      <c r="W77" s="464"/>
      <c r="X77" s="469"/>
      <c r="Y77" s="470"/>
      <c r="Z77" s="464"/>
      <c r="AA77" s="469"/>
      <c r="AB77" s="470"/>
      <c r="AC77" s="464"/>
      <c r="AD77" s="469"/>
      <c r="AE77" s="470"/>
      <c r="AF77" s="464"/>
      <c r="AG77" s="469"/>
      <c r="AH77" s="470"/>
      <c r="AI77" s="464"/>
      <c r="AJ77" s="469"/>
      <c r="AK77" s="470"/>
      <c r="AL77" s="618"/>
      <c r="AM77" s="618"/>
      <c r="AN77" s="618"/>
      <c r="AO77" s="617"/>
      <c r="AP77" s="463"/>
    </row>
    <row r="78" spans="1:42" x14ac:dyDescent="0.25">
      <c r="A78" s="463"/>
      <c r="B78" s="464"/>
      <c r="C78" s="469"/>
      <c r="D78" s="470"/>
      <c r="E78" s="464"/>
      <c r="F78" s="469"/>
      <c r="G78" s="470"/>
      <c r="H78" s="464"/>
      <c r="I78" s="469"/>
      <c r="J78" s="470"/>
      <c r="K78" s="464"/>
      <c r="L78" s="469"/>
      <c r="M78" s="470"/>
      <c r="N78" s="464"/>
      <c r="O78" s="469"/>
      <c r="P78" s="470"/>
      <c r="Q78" s="464"/>
      <c r="R78" s="469"/>
      <c r="S78" s="470"/>
      <c r="T78" s="464"/>
      <c r="U78" s="469"/>
      <c r="V78" s="470"/>
      <c r="W78" s="464"/>
      <c r="X78" s="469"/>
      <c r="Y78" s="470"/>
      <c r="Z78" s="464"/>
      <c r="AA78" s="469"/>
      <c r="AB78" s="470"/>
      <c r="AC78" s="464"/>
      <c r="AD78" s="469"/>
      <c r="AE78" s="470"/>
      <c r="AF78" s="464"/>
      <c r="AG78" s="469"/>
      <c r="AH78" s="470"/>
      <c r="AI78" s="464"/>
      <c r="AJ78" s="469"/>
      <c r="AK78" s="470"/>
      <c r="AL78" s="618"/>
      <c r="AM78" s="618"/>
      <c r="AN78" s="618"/>
      <c r="AO78" s="617"/>
      <c r="AP78" s="463"/>
    </row>
    <row r="79" spans="1:42" x14ac:dyDescent="0.25">
      <c r="A79" s="463"/>
      <c r="B79" s="464"/>
      <c r="C79" s="469"/>
      <c r="D79" s="470"/>
      <c r="E79" s="464"/>
      <c r="F79" s="469"/>
      <c r="G79" s="470"/>
      <c r="H79" s="464"/>
      <c r="I79" s="469"/>
      <c r="J79" s="470"/>
      <c r="K79" s="464"/>
      <c r="L79" s="469"/>
      <c r="M79" s="470"/>
      <c r="N79" s="464"/>
      <c r="O79" s="469"/>
      <c r="P79" s="470"/>
      <c r="Q79" s="464"/>
      <c r="R79" s="469"/>
      <c r="S79" s="470"/>
      <c r="T79" s="464"/>
      <c r="U79" s="469"/>
      <c r="V79" s="470"/>
      <c r="W79" s="464"/>
      <c r="X79" s="469"/>
      <c r="Y79" s="470"/>
      <c r="Z79" s="464"/>
      <c r="AA79" s="469"/>
      <c r="AB79" s="470"/>
      <c r="AC79" s="464"/>
      <c r="AD79" s="469"/>
      <c r="AE79" s="470"/>
      <c r="AF79" s="464"/>
      <c r="AG79" s="469"/>
      <c r="AH79" s="470"/>
      <c r="AI79" s="464"/>
      <c r="AJ79" s="469"/>
      <c r="AK79" s="470"/>
      <c r="AL79" s="618"/>
      <c r="AM79" s="618"/>
      <c r="AN79" s="618"/>
      <c r="AO79" s="617"/>
      <c r="AP79" s="463"/>
    </row>
    <row r="80" spans="1:42" x14ac:dyDescent="0.25">
      <c r="A80" s="463"/>
      <c r="B80" s="464"/>
      <c r="C80" s="469"/>
      <c r="D80" s="470"/>
      <c r="E80" s="464"/>
      <c r="F80" s="469"/>
      <c r="G80" s="470"/>
      <c r="H80" s="464"/>
      <c r="I80" s="469"/>
      <c r="J80" s="470"/>
      <c r="K80" s="464"/>
      <c r="L80" s="469"/>
      <c r="M80" s="470"/>
      <c r="N80" s="464"/>
      <c r="O80" s="469"/>
      <c r="P80" s="470"/>
      <c r="Q80" s="464"/>
      <c r="R80" s="469"/>
      <c r="S80" s="470"/>
      <c r="T80" s="464"/>
      <c r="U80" s="469"/>
      <c r="V80" s="470"/>
      <c r="W80" s="464"/>
      <c r="X80" s="469"/>
      <c r="Y80" s="470"/>
      <c r="Z80" s="464"/>
      <c r="AA80" s="469"/>
      <c r="AB80" s="470"/>
      <c r="AC80" s="464"/>
      <c r="AD80" s="469"/>
      <c r="AE80" s="470"/>
      <c r="AF80" s="464"/>
      <c r="AG80" s="469"/>
      <c r="AH80" s="470"/>
      <c r="AI80" s="464"/>
      <c r="AJ80" s="469"/>
      <c r="AK80" s="470"/>
      <c r="AL80" s="618"/>
      <c r="AM80" s="618"/>
      <c r="AN80" s="618"/>
      <c r="AO80" s="617"/>
      <c r="AP80" s="463"/>
    </row>
    <row r="81" spans="1:42" x14ac:dyDescent="0.25">
      <c r="A81" s="463"/>
      <c r="B81" s="464"/>
      <c r="C81" s="469"/>
      <c r="D81" s="470"/>
      <c r="E81" s="464"/>
      <c r="F81" s="469"/>
      <c r="G81" s="470"/>
      <c r="H81" s="464"/>
      <c r="I81" s="469"/>
      <c r="J81" s="470"/>
      <c r="K81" s="464"/>
      <c r="L81" s="469"/>
      <c r="M81" s="470"/>
      <c r="N81" s="464"/>
      <c r="O81" s="469"/>
      <c r="P81" s="470"/>
      <c r="Q81" s="464"/>
      <c r="R81" s="469"/>
      <c r="S81" s="470"/>
      <c r="T81" s="464"/>
      <c r="U81" s="469"/>
      <c r="V81" s="470"/>
      <c r="W81" s="464"/>
      <c r="X81" s="469"/>
      <c r="Y81" s="470"/>
      <c r="Z81" s="464"/>
      <c r="AA81" s="469"/>
      <c r="AB81" s="470"/>
      <c r="AC81" s="464"/>
      <c r="AD81" s="469"/>
      <c r="AE81" s="470"/>
      <c r="AF81" s="464"/>
      <c r="AG81" s="469"/>
      <c r="AH81" s="470"/>
      <c r="AI81" s="464"/>
      <c r="AJ81" s="469"/>
      <c r="AK81" s="470"/>
      <c r="AL81" s="618"/>
      <c r="AM81" s="618"/>
      <c r="AN81" s="618"/>
      <c r="AO81" s="617"/>
      <c r="AP81" s="463"/>
    </row>
    <row r="82" spans="1:42" x14ac:dyDescent="0.25">
      <c r="A82" s="463"/>
      <c r="B82" s="464"/>
      <c r="C82" s="469"/>
      <c r="D82" s="470"/>
      <c r="E82" s="464"/>
      <c r="F82" s="469"/>
      <c r="G82" s="470"/>
      <c r="H82" s="464"/>
      <c r="I82" s="469"/>
      <c r="J82" s="470"/>
      <c r="K82" s="464"/>
      <c r="L82" s="469"/>
      <c r="M82" s="470"/>
      <c r="N82" s="464"/>
      <c r="O82" s="469"/>
      <c r="P82" s="470"/>
      <c r="Q82" s="464"/>
      <c r="R82" s="469"/>
      <c r="S82" s="470"/>
      <c r="T82" s="464"/>
      <c r="U82" s="469"/>
      <c r="V82" s="470"/>
      <c r="W82" s="464"/>
      <c r="X82" s="469"/>
      <c r="Y82" s="470"/>
      <c r="Z82" s="464"/>
      <c r="AA82" s="469"/>
      <c r="AB82" s="470"/>
      <c r="AC82" s="464"/>
      <c r="AD82" s="469"/>
      <c r="AE82" s="470"/>
      <c r="AF82" s="464"/>
      <c r="AG82" s="469"/>
      <c r="AH82" s="470"/>
      <c r="AI82" s="464"/>
      <c r="AJ82" s="469"/>
      <c r="AK82" s="470"/>
      <c r="AL82" s="618"/>
      <c r="AM82" s="618"/>
      <c r="AN82" s="618"/>
      <c r="AO82" s="617"/>
      <c r="AP82" s="463"/>
    </row>
    <row r="83" spans="1:42" ht="18.75" x14ac:dyDescent="0.25">
      <c r="A83" s="463"/>
      <c r="B83" s="471"/>
      <c r="C83" s="471"/>
      <c r="D83" s="470"/>
      <c r="E83" s="464"/>
      <c r="F83" s="464"/>
      <c r="G83" s="470"/>
      <c r="H83" s="464"/>
      <c r="I83" s="464"/>
      <c r="J83" s="470"/>
      <c r="K83" s="464"/>
      <c r="L83" s="464"/>
      <c r="M83" s="470"/>
      <c r="N83" s="464"/>
      <c r="O83" s="464"/>
      <c r="P83" s="470"/>
      <c r="Q83" s="464"/>
      <c r="R83" s="464"/>
      <c r="S83" s="470"/>
      <c r="T83" s="464"/>
      <c r="U83" s="464"/>
      <c r="V83" s="470"/>
      <c r="W83" s="464"/>
      <c r="X83" s="464"/>
      <c r="Y83" s="470"/>
      <c r="Z83" s="464"/>
      <c r="AA83" s="464"/>
      <c r="AB83" s="470"/>
      <c r="AC83" s="464"/>
      <c r="AD83" s="464"/>
      <c r="AE83" s="470"/>
      <c r="AF83" s="464"/>
      <c r="AG83" s="464"/>
      <c r="AH83" s="470"/>
      <c r="AI83" s="464"/>
      <c r="AJ83" s="464"/>
      <c r="AK83" s="470"/>
      <c r="AL83" s="464"/>
      <c r="AM83" s="464"/>
      <c r="AN83" s="470"/>
      <c r="AO83" s="472"/>
      <c r="AP83" s="463"/>
    </row>
    <row r="84" spans="1:42" x14ac:dyDescent="0.25">
      <c r="A84" s="463"/>
      <c r="B84" s="464"/>
      <c r="C84" s="464"/>
      <c r="D84" s="465"/>
      <c r="E84" s="464"/>
      <c r="F84" s="464"/>
      <c r="G84" s="465"/>
      <c r="H84" s="464"/>
      <c r="I84" s="464"/>
      <c r="J84" s="465"/>
      <c r="K84" s="464"/>
      <c r="L84" s="464"/>
      <c r="M84" s="465"/>
      <c r="N84" s="464"/>
      <c r="O84" s="464"/>
      <c r="P84" s="465"/>
      <c r="Q84" s="464"/>
      <c r="R84" s="464"/>
      <c r="S84" s="466"/>
      <c r="T84" s="464"/>
      <c r="U84" s="464"/>
      <c r="V84" s="466"/>
      <c r="W84" s="463"/>
      <c r="X84" s="463"/>
      <c r="Y84" s="466"/>
      <c r="Z84" s="463"/>
      <c r="AA84" s="463"/>
      <c r="AB84" s="466"/>
      <c r="AC84" s="463"/>
      <c r="AD84" s="463"/>
      <c r="AE84" s="466"/>
      <c r="AF84" s="463"/>
      <c r="AG84" s="463"/>
      <c r="AH84" s="466"/>
      <c r="AI84" s="463"/>
      <c r="AJ84" s="463"/>
      <c r="AK84" s="466"/>
      <c r="AL84" s="463"/>
      <c r="AM84" s="463"/>
      <c r="AN84" s="463"/>
      <c r="AO84" s="463"/>
      <c r="AP84" s="463"/>
    </row>
  </sheetData>
  <mergeCells count="6">
    <mergeCell ref="P40:R40"/>
    <mergeCell ref="P41:R41"/>
    <mergeCell ref="P42:R42"/>
    <mergeCell ref="B50:AO51"/>
    <mergeCell ref="AO53:AO82"/>
    <mergeCell ref="AL58:AN82"/>
  </mergeCells>
  <pageMargins left="0.7" right="0.7" top="0.75" bottom="0.75" header="0.3" footer="0.3"/>
  <pageSetup paperSize="9" firstPageNumber="4294967295" orientation="portrait" verticalDpi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M74"/>
  <sheetViews>
    <sheetView topLeftCell="A19" zoomScale="115" workbookViewId="0">
      <selection activeCell="D8" sqref="D8"/>
    </sheetView>
  </sheetViews>
  <sheetFormatPr defaultRowHeight="15" outlineLevelRow="1" x14ac:dyDescent="0.25"/>
  <cols>
    <col min="1" max="1" width="4.42578125" customWidth="1"/>
    <col min="2" max="2" width="38.42578125" style="258" bestFit="1" customWidth="1"/>
    <col min="3" max="3" width="14.5703125" style="525" customWidth="1"/>
    <col min="4" max="4" width="90.7109375" customWidth="1"/>
    <col min="5" max="5" width="16.28515625" style="218" bestFit="1" customWidth="1"/>
    <col min="6" max="7" width="16.28515625" style="218" customWidth="1"/>
    <col min="8" max="8" width="12" style="254" bestFit="1" customWidth="1"/>
    <col min="9" max="9" width="12" bestFit="1" customWidth="1"/>
    <col min="10" max="10" width="15.140625" customWidth="1"/>
    <col min="11" max="11" width="14.42578125" bestFit="1" customWidth="1"/>
    <col min="12" max="12" width="74.7109375" customWidth="1"/>
    <col min="13" max="13" width="16.85546875" style="292" customWidth="1"/>
    <col min="14" max="14" width="12" bestFit="1" customWidth="1"/>
    <col min="15" max="15" width="10.5703125" bestFit="1" customWidth="1"/>
  </cols>
  <sheetData>
    <row r="2" spans="2:13" ht="21" x14ac:dyDescent="0.25">
      <c r="B2" s="293" t="s">
        <v>233</v>
      </c>
      <c r="C2" s="512"/>
      <c r="D2" s="293"/>
      <c r="E2" s="294"/>
      <c r="F2" s="295"/>
      <c r="G2" s="295"/>
      <c r="H2" s="293"/>
    </row>
    <row r="3" spans="2:13" s="296" customFormat="1" ht="18.75" x14ac:dyDescent="0.25">
      <c r="B3" s="297" t="s">
        <v>203</v>
      </c>
      <c r="C3" s="513" t="s">
        <v>234</v>
      </c>
      <c r="D3" s="297" t="s">
        <v>235</v>
      </c>
      <c r="E3" s="298" t="s">
        <v>189</v>
      </c>
      <c r="F3" s="298" t="s">
        <v>236</v>
      </c>
      <c r="G3" s="298"/>
      <c r="H3" s="299" t="s">
        <v>180</v>
      </c>
    </row>
    <row r="4" spans="2:13" ht="18.75" x14ac:dyDescent="0.25">
      <c r="B4" s="9" t="s">
        <v>237</v>
      </c>
      <c r="C4" s="514"/>
      <c r="D4" s="9"/>
      <c r="E4" s="300"/>
      <c r="F4" s="301"/>
      <c r="G4" s="301"/>
      <c r="H4" s="9"/>
    </row>
    <row r="5" spans="2:13" ht="18.75" x14ac:dyDescent="0.25">
      <c r="B5" s="302"/>
      <c r="C5" s="515"/>
      <c r="D5" s="302" t="s">
        <v>238</v>
      </c>
      <c r="E5" s="304"/>
      <c r="F5" s="305"/>
      <c r="G5" s="305"/>
      <c r="H5" s="306"/>
    </row>
    <row r="6" spans="2:13" outlineLevel="1" x14ac:dyDescent="0.25">
      <c r="B6" s="526" t="s">
        <v>334</v>
      </c>
      <c r="C6" s="516">
        <v>2023</v>
      </c>
      <c r="D6" s="568" t="s">
        <v>363</v>
      </c>
      <c r="E6" s="291">
        <v>100000</v>
      </c>
      <c r="F6" s="291" t="s">
        <v>28</v>
      </c>
      <c r="G6" s="291"/>
      <c r="H6" s="307">
        <f>E6/Активы!$J$3</f>
        <v>1448.8512058788585</v>
      </c>
    </row>
    <row r="7" spans="2:13" outlineLevel="1" x14ac:dyDescent="0.25">
      <c r="B7" s="308" t="s">
        <v>239</v>
      </c>
      <c r="C7" s="516">
        <v>2023</v>
      </c>
      <c r="D7" s="268" t="s">
        <v>364</v>
      </c>
      <c r="E7" s="291">
        <v>100000</v>
      </c>
      <c r="F7" s="291">
        <v>30000</v>
      </c>
      <c r="G7" s="291"/>
      <c r="H7" s="307">
        <f>E7/Активы!$J$3</f>
        <v>1448.8512058788585</v>
      </c>
    </row>
    <row r="8" spans="2:13" outlineLevel="1" x14ac:dyDescent="0.25">
      <c r="B8" s="528" t="s">
        <v>326</v>
      </c>
      <c r="C8" s="533">
        <v>2023</v>
      </c>
      <c r="D8" s="569" t="s">
        <v>365</v>
      </c>
      <c r="E8" s="268"/>
      <c r="F8" s="268"/>
      <c r="G8" s="268"/>
      <c r="H8" s="534"/>
    </row>
    <row r="9" spans="2:13" outlineLevel="1" x14ac:dyDescent="0.25">
      <c r="B9" s="528"/>
      <c r="C9" s="533"/>
      <c r="D9" s="268"/>
      <c r="E9" s="291"/>
      <c r="F9" s="291"/>
      <c r="G9" s="291"/>
      <c r="H9" s="534"/>
    </row>
    <row r="10" spans="2:13" outlineLevel="1" x14ac:dyDescent="0.25">
      <c r="B10" s="528"/>
      <c r="C10" s="533"/>
      <c r="D10" s="535"/>
      <c r="E10" s="291"/>
      <c r="F10" s="291"/>
      <c r="G10" s="291"/>
      <c r="H10" s="534"/>
    </row>
    <row r="11" spans="2:13" ht="18.75" x14ac:dyDescent="0.25">
      <c r="B11" s="310"/>
      <c r="C11" s="311"/>
      <c r="D11" s="504" t="s">
        <v>240</v>
      </c>
      <c r="E11" s="311"/>
      <c r="F11" s="311"/>
      <c r="G11" s="311"/>
      <c r="H11" s="312"/>
    </row>
    <row r="12" spans="2:13" s="531" customFormat="1" outlineLevel="1" x14ac:dyDescent="0.25">
      <c r="B12" s="526" t="s">
        <v>322</v>
      </c>
      <c r="C12" s="527">
        <v>2023</v>
      </c>
      <c r="D12" s="528" t="s">
        <v>323</v>
      </c>
      <c r="E12" s="529">
        <v>50000</v>
      </c>
      <c r="F12" s="529" t="s">
        <v>28</v>
      </c>
      <c r="G12" s="529"/>
      <c r="H12" s="530">
        <f>E12/Активы!$J$3</f>
        <v>724.42560293942927</v>
      </c>
      <c r="M12" s="532"/>
    </row>
    <row r="13" spans="2:13" outlineLevel="1" x14ac:dyDescent="0.25">
      <c r="B13" s="265"/>
      <c r="C13" s="516"/>
      <c r="D13" s="528" t="s">
        <v>324</v>
      </c>
      <c r="E13" s="291">
        <v>3000</v>
      </c>
      <c r="F13" s="291">
        <v>3000</v>
      </c>
      <c r="G13" s="291"/>
      <c r="H13" s="307">
        <f>E13/Активы!$J$3</f>
        <v>43.46553617636576</v>
      </c>
    </row>
    <row r="14" spans="2:13" outlineLevel="1" x14ac:dyDescent="0.25">
      <c r="B14" s="265"/>
      <c r="C14" s="516"/>
      <c r="D14" s="528" t="s">
        <v>325</v>
      </c>
      <c r="E14" s="291"/>
      <c r="F14" s="291"/>
      <c r="G14" s="291"/>
      <c r="H14" s="307"/>
    </row>
    <row r="15" spans="2:13" outlineLevel="1" x14ac:dyDescent="0.25">
      <c r="B15" s="265"/>
      <c r="C15" s="517"/>
      <c r="D15" s="268"/>
      <c r="E15" s="291"/>
      <c r="F15" s="291"/>
      <c r="G15" s="291"/>
      <c r="H15" s="269"/>
    </row>
    <row r="16" spans="2:13" ht="18.75" x14ac:dyDescent="0.25">
      <c r="B16" s="310"/>
      <c r="C16" s="518"/>
      <c r="D16" s="309" t="s">
        <v>241</v>
      </c>
      <c r="E16" s="309"/>
      <c r="F16" s="311"/>
      <c r="G16" s="311"/>
      <c r="H16" s="312"/>
    </row>
    <row r="17" spans="2:13" x14ac:dyDescent="0.25">
      <c r="B17" s="265" t="s">
        <v>242</v>
      </c>
      <c r="C17" s="519">
        <v>2023</v>
      </c>
      <c r="D17" s="526" t="s">
        <v>335</v>
      </c>
      <c r="E17" s="291">
        <v>25000</v>
      </c>
      <c r="F17" s="313" t="s">
        <v>28</v>
      </c>
      <c r="G17" s="313"/>
      <c r="H17" s="307">
        <f>E17/Активы!$J$3</f>
        <v>362.21280146971463</v>
      </c>
      <c r="M17" s="314"/>
    </row>
    <row r="18" spans="2:13" ht="16.5" customHeight="1" outlineLevel="1" x14ac:dyDescent="0.25">
      <c r="B18" s="308" t="s">
        <v>243</v>
      </c>
      <c r="C18" s="516">
        <v>2023</v>
      </c>
      <c r="D18" s="308" t="s">
        <v>244</v>
      </c>
      <c r="E18" s="291">
        <v>0</v>
      </c>
      <c r="F18" s="291" t="s">
        <v>28</v>
      </c>
      <c r="G18" s="291"/>
      <c r="H18" s="307">
        <f>E18/Активы!$J$3</f>
        <v>0</v>
      </c>
    </row>
    <row r="19" spans="2:13" ht="16.5" customHeight="1" outlineLevel="1" x14ac:dyDescent="0.25">
      <c r="B19" s="265" t="s">
        <v>245</v>
      </c>
      <c r="C19" s="516">
        <v>2023</v>
      </c>
      <c r="D19" s="265" t="s">
        <v>246</v>
      </c>
      <c r="E19" s="291">
        <v>500</v>
      </c>
      <c r="F19" s="291" t="s">
        <v>28</v>
      </c>
      <c r="G19" s="291" t="s">
        <v>123</v>
      </c>
      <c r="H19" s="307">
        <f>E19/Активы!$J$3</f>
        <v>7.2442560293942933</v>
      </c>
    </row>
    <row r="20" spans="2:13" ht="16.5" customHeight="1" outlineLevel="1" x14ac:dyDescent="0.25">
      <c r="B20" s="265" t="s">
        <v>247</v>
      </c>
      <c r="C20" s="516">
        <v>2023</v>
      </c>
      <c r="D20" s="265" t="s">
        <v>248</v>
      </c>
      <c r="E20" s="291">
        <v>750</v>
      </c>
      <c r="F20" s="291" t="s">
        <v>28</v>
      </c>
      <c r="G20" s="291" t="s">
        <v>123</v>
      </c>
      <c r="H20" s="307">
        <f>E20/Активы!$J$3</f>
        <v>10.86638404409144</v>
      </c>
    </row>
    <row r="21" spans="2:13" ht="16.5" customHeight="1" outlineLevel="1" x14ac:dyDescent="0.25">
      <c r="B21" s="265" t="s">
        <v>249</v>
      </c>
      <c r="C21" s="516">
        <v>2023</v>
      </c>
      <c r="D21" s="265" t="s">
        <v>250</v>
      </c>
      <c r="E21" s="291">
        <v>22000</v>
      </c>
      <c r="F21" s="291">
        <v>12000</v>
      </c>
      <c r="G21" s="291"/>
      <c r="H21" s="307">
        <f>E21/Активы!$J$3</f>
        <v>318.7472652933489</v>
      </c>
    </row>
    <row r="22" spans="2:13" ht="16.5" customHeight="1" outlineLevel="1" x14ac:dyDescent="0.25">
      <c r="B22" s="265" t="s">
        <v>251</v>
      </c>
      <c r="C22" s="516">
        <v>2023</v>
      </c>
      <c r="D22" s="526" t="s">
        <v>330</v>
      </c>
      <c r="E22" s="291">
        <v>6000</v>
      </c>
      <c r="F22" s="291">
        <v>6000</v>
      </c>
      <c r="G22" s="291"/>
      <c r="H22" s="307">
        <f>E22/Активы!$J$3</f>
        <v>86.931072352731519</v>
      </c>
    </row>
    <row r="23" spans="2:13" ht="16.5" customHeight="1" outlineLevel="1" x14ac:dyDescent="0.25">
      <c r="B23" s="526" t="s">
        <v>328</v>
      </c>
      <c r="C23" s="516">
        <v>2023</v>
      </c>
      <c r="D23" s="526" t="s">
        <v>329</v>
      </c>
      <c r="E23" s="291"/>
      <c r="F23" s="291"/>
      <c r="G23" s="291"/>
      <c r="H23" s="307"/>
    </row>
    <row r="24" spans="2:13" ht="19.5" customHeight="1" outlineLevel="1" x14ac:dyDescent="0.25">
      <c r="B24" s="526" t="s">
        <v>332</v>
      </c>
      <c r="C24" s="516">
        <v>2023</v>
      </c>
      <c r="D24" s="268"/>
      <c r="E24" s="291">
        <v>7000</v>
      </c>
      <c r="F24" s="291">
        <v>7000</v>
      </c>
      <c r="G24" s="291"/>
      <c r="H24" s="307">
        <f>E24/Активы!$J$3</f>
        <v>101.41958441152011</v>
      </c>
    </row>
    <row r="25" spans="2:13" ht="19.5" customHeight="1" outlineLevel="1" x14ac:dyDescent="0.25">
      <c r="B25" s="265" t="s">
        <v>252</v>
      </c>
      <c r="C25" s="516">
        <v>2023</v>
      </c>
      <c r="D25" s="268" t="s">
        <v>321</v>
      </c>
      <c r="E25" s="291"/>
      <c r="F25" s="291"/>
      <c r="G25" s="291"/>
      <c r="H25" s="307"/>
    </row>
    <row r="26" spans="2:13" x14ac:dyDescent="0.25">
      <c r="B26" s="552" t="s">
        <v>26</v>
      </c>
      <c r="C26" s="516">
        <v>2023</v>
      </c>
      <c r="D26" s="551" t="s">
        <v>337</v>
      </c>
      <c r="E26" s="291"/>
      <c r="F26" s="291"/>
      <c r="G26" s="291"/>
      <c r="H26" s="265"/>
    </row>
    <row r="27" spans="2:13" x14ac:dyDescent="0.25">
      <c r="B27" s="552" t="s">
        <v>26</v>
      </c>
      <c r="C27" s="516">
        <v>2023</v>
      </c>
      <c r="D27" s="551" t="s">
        <v>338</v>
      </c>
      <c r="E27" s="291"/>
      <c r="F27" s="291"/>
      <c r="G27" s="291"/>
      <c r="H27" s="265"/>
    </row>
    <row r="28" spans="2:13" x14ac:dyDescent="0.25">
      <c r="B28" s="526" t="s">
        <v>331</v>
      </c>
      <c r="C28" s="517"/>
      <c r="D28" s="268" t="s">
        <v>339</v>
      </c>
      <c r="E28" s="291"/>
      <c r="F28" s="291"/>
      <c r="G28" s="291"/>
      <c r="H28" s="265"/>
    </row>
    <row r="29" spans="2:13" x14ac:dyDescent="0.25">
      <c r="B29" s="526" t="s">
        <v>333</v>
      </c>
      <c r="C29" s="517"/>
      <c r="D29" s="268"/>
      <c r="E29" s="291"/>
      <c r="F29" s="291"/>
      <c r="G29" s="291"/>
      <c r="H29" s="265"/>
    </row>
    <row r="30" spans="2:13" x14ac:dyDescent="0.25">
      <c r="B30" s="552" t="s">
        <v>340</v>
      </c>
      <c r="C30" s="517"/>
      <c r="D30" s="268"/>
      <c r="E30" s="291"/>
      <c r="F30" s="291"/>
      <c r="G30" s="291"/>
      <c r="H30" s="265"/>
    </row>
    <row r="31" spans="2:13" x14ac:dyDescent="0.25">
      <c r="B31" s="559" t="s">
        <v>355</v>
      </c>
      <c r="C31" s="516">
        <v>2023</v>
      </c>
      <c r="D31" s="268"/>
      <c r="E31" s="291"/>
      <c r="F31" s="291"/>
      <c r="G31" s="291"/>
      <c r="H31" s="265"/>
    </row>
    <row r="32" spans="2:13" ht="18.75" x14ac:dyDescent="0.25">
      <c r="B32" s="9" t="s">
        <v>253</v>
      </c>
      <c r="C32" s="514"/>
      <c r="D32" s="9"/>
      <c r="E32" s="300"/>
      <c r="F32" s="301"/>
      <c r="G32" s="301"/>
      <c r="H32" s="9"/>
    </row>
    <row r="33" spans="2:9" ht="18.75" x14ac:dyDescent="0.25">
      <c r="B33" s="302" t="s">
        <v>241</v>
      </c>
      <c r="C33" s="515"/>
      <c r="D33" s="303"/>
      <c r="E33" s="304"/>
      <c r="F33" s="305"/>
      <c r="G33" s="305"/>
      <c r="H33" s="306"/>
    </row>
    <row r="34" spans="2:9" outlineLevel="1" x14ac:dyDescent="0.25">
      <c r="B34" s="537" t="s">
        <v>254</v>
      </c>
      <c r="C34" s="538">
        <v>2022</v>
      </c>
      <c r="D34" s="537" t="s">
        <v>255</v>
      </c>
      <c r="E34" s="291">
        <v>25000</v>
      </c>
      <c r="F34" s="291">
        <v>25000</v>
      </c>
      <c r="G34" s="291"/>
      <c r="H34" s="307">
        <f>E34/Активы!$J$3</f>
        <v>362.21280146971463</v>
      </c>
    </row>
    <row r="35" spans="2:9" outlineLevel="1" x14ac:dyDescent="0.25">
      <c r="B35" s="536" t="s">
        <v>206</v>
      </c>
      <c r="C35" s="516">
        <v>2022</v>
      </c>
      <c r="D35" s="308" t="s">
        <v>256</v>
      </c>
      <c r="E35" s="291"/>
      <c r="F35" s="291"/>
      <c r="G35" s="291"/>
      <c r="H35" s="307"/>
    </row>
    <row r="36" spans="2:9" outlineLevel="1" x14ac:dyDescent="0.25">
      <c r="B36" s="308" t="s">
        <v>257</v>
      </c>
      <c r="C36" s="516">
        <v>2023</v>
      </c>
      <c r="D36" s="528" t="s">
        <v>336</v>
      </c>
      <c r="E36" s="291">
        <v>60000</v>
      </c>
      <c r="F36" s="291">
        <v>45000</v>
      </c>
      <c r="G36" s="291"/>
      <c r="H36" s="307">
        <f>E36/Активы!$J$3</f>
        <v>869.31072352731519</v>
      </c>
    </row>
    <row r="37" spans="2:9" outlineLevel="1" x14ac:dyDescent="0.25">
      <c r="B37" s="528" t="s">
        <v>254</v>
      </c>
      <c r="C37" s="516">
        <v>2023</v>
      </c>
      <c r="D37" s="528" t="s">
        <v>327</v>
      </c>
      <c r="E37" s="291"/>
      <c r="F37" s="291"/>
      <c r="G37" s="291"/>
      <c r="H37" s="307"/>
    </row>
    <row r="38" spans="2:9" outlineLevel="1" x14ac:dyDescent="0.25">
      <c r="B38" s="536" t="s">
        <v>206</v>
      </c>
      <c r="C38" s="516">
        <v>2023</v>
      </c>
      <c r="D38" s="308"/>
      <c r="E38" s="291"/>
      <c r="F38" s="291"/>
      <c r="G38" s="291"/>
      <c r="H38" s="307"/>
    </row>
    <row r="39" spans="2:9" outlineLevel="1" x14ac:dyDescent="0.25">
      <c r="B39" s="308" t="s">
        <v>258</v>
      </c>
      <c r="C39" s="516">
        <v>2023</v>
      </c>
      <c r="D39" s="308"/>
      <c r="E39" s="291">
        <v>7500</v>
      </c>
      <c r="F39" s="291">
        <v>4000</v>
      </c>
      <c r="G39" s="291"/>
      <c r="H39" s="307">
        <f>E39/Активы!$J$3</f>
        <v>108.6638404409144</v>
      </c>
    </row>
    <row r="40" spans="2:9" outlineLevel="1" x14ac:dyDescent="0.25">
      <c r="B40" s="265" t="s">
        <v>259</v>
      </c>
      <c r="C40" s="516">
        <v>2023</v>
      </c>
      <c r="E40" s="291">
        <v>0</v>
      </c>
      <c r="F40" s="291" t="s">
        <v>28</v>
      </c>
      <c r="G40" s="291"/>
      <c r="H40" s="307">
        <f>E40/Активы!$J$3</f>
        <v>0</v>
      </c>
    </row>
    <row r="41" spans="2:9" outlineLevel="1" x14ac:dyDescent="0.25">
      <c r="B41" s="308" t="s">
        <v>260</v>
      </c>
      <c r="C41" s="516">
        <v>2023</v>
      </c>
      <c r="D41" s="308"/>
      <c r="E41" s="291">
        <v>15000</v>
      </c>
      <c r="F41" s="291" t="s">
        <v>28</v>
      </c>
      <c r="G41" s="291"/>
      <c r="H41" s="307">
        <f>E41/Активы!$J$3</f>
        <v>217.3276808818288</v>
      </c>
    </row>
    <row r="42" spans="2:9" outlineLevel="1" x14ac:dyDescent="0.25">
      <c r="B42" s="265" t="s">
        <v>252</v>
      </c>
      <c r="C42" s="516">
        <v>2023</v>
      </c>
      <c r="D42" s="528" t="s">
        <v>321</v>
      </c>
      <c r="E42" s="291">
        <v>15000</v>
      </c>
      <c r="F42" s="291"/>
      <c r="G42" s="291"/>
      <c r="H42" s="307">
        <f>E42/Активы!$J$3</f>
        <v>217.3276808818288</v>
      </c>
    </row>
    <row r="43" spans="2:9" ht="18.75" x14ac:dyDescent="0.25">
      <c r="B43" s="315" t="s">
        <v>240</v>
      </c>
      <c r="C43" s="520"/>
      <c r="D43" s="316"/>
      <c r="E43" s="317"/>
      <c r="F43" s="318"/>
      <c r="G43" s="318"/>
      <c r="H43" s="319"/>
    </row>
    <row r="44" spans="2:9" ht="53.25" customHeight="1" outlineLevel="1" x14ac:dyDescent="0.25">
      <c r="B44" s="308" t="s">
        <v>261</v>
      </c>
      <c r="C44" s="516">
        <v>2023</v>
      </c>
      <c r="D44" s="308" t="s">
        <v>262</v>
      </c>
      <c r="E44" s="291">
        <v>150000</v>
      </c>
      <c r="F44" s="291">
        <v>150000</v>
      </c>
      <c r="G44" s="291"/>
      <c r="H44" s="307">
        <f>E44/Активы!$J$3</f>
        <v>2173.2768088182879</v>
      </c>
    </row>
    <row r="45" spans="2:9" ht="35.25" customHeight="1" outlineLevel="1" x14ac:dyDescent="0.25">
      <c r="B45" s="308"/>
      <c r="C45" s="516"/>
      <c r="D45" s="308"/>
      <c r="E45" s="291"/>
      <c r="F45" s="291"/>
      <c r="G45" s="291"/>
      <c r="H45" s="307"/>
    </row>
    <row r="46" spans="2:9" ht="18.75" x14ac:dyDescent="0.25">
      <c r="B46" s="320" t="s">
        <v>263</v>
      </c>
      <c r="C46" s="521"/>
      <c r="D46" s="321"/>
      <c r="E46" s="322"/>
      <c r="F46" s="323"/>
      <c r="G46" s="323"/>
      <c r="H46" s="324"/>
    </row>
    <row r="47" spans="2:9" ht="18.75" x14ac:dyDescent="0.25">
      <c r="B47" s="302" t="s">
        <v>238</v>
      </c>
      <c r="C47" s="515"/>
      <c r="D47" s="303"/>
      <c r="E47" s="304"/>
      <c r="F47" s="305"/>
      <c r="G47" s="305"/>
      <c r="H47" s="306"/>
    </row>
    <row r="48" spans="2:9" ht="15.75" outlineLevel="1" x14ac:dyDescent="0.25">
      <c r="B48" s="325" t="s">
        <v>203</v>
      </c>
      <c r="C48" s="522" t="s">
        <v>264</v>
      </c>
      <c r="D48" s="326" t="s">
        <v>235</v>
      </c>
      <c r="E48" s="327"/>
      <c r="F48" s="328"/>
      <c r="G48" s="328"/>
      <c r="H48" s="329"/>
      <c r="I48" s="101"/>
    </row>
    <row r="49" spans="2:11" outlineLevel="1" x14ac:dyDescent="0.25">
      <c r="B49" s="265" t="s">
        <v>265</v>
      </c>
      <c r="C49" s="516">
        <v>5</v>
      </c>
      <c r="D49" s="308" t="s">
        <v>266</v>
      </c>
      <c r="E49" s="291">
        <v>4000000</v>
      </c>
      <c r="F49" s="291"/>
      <c r="G49" s="291"/>
      <c r="H49" s="307">
        <f>E49/Активы!$J$3</f>
        <v>57954.048235154347</v>
      </c>
      <c r="I49" s="330"/>
      <c r="J49" s="330"/>
    </row>
    <row r="50" spans="2:11" outlineLevel="1" x14ac:dyDescent="0.25">
      <c r="B50" s="265" t="s">
        <v>267</v>
      </c>
      <c r="C50" s="517"/>
      <c r="D50" s="268" t="s">
        <v>268</v>
      </c>
      <c r="E50" s="291">
        <v>1500000</v>
      </c>
      <c r="F50" s="291"/>
      <c r="G50" s="291"/>
      <c r="H50" s="307">
        <f>E50/Активы!$J$3</f>
        <v>21732.768088182878</v>
      </c>
    </row>
    <row r="51" spans="2:11" outlineLevel="1" x14ac:dyDescent="0.25">
      <c r="B51" s="265" t="s">
        <v>269</v>
      </c>
      <c r="C51" s="517"/>
      <c r="D51" s="268" t="s">
        <v>270</v>
      </c>
      <c r="E51" s="291">
        <v>10000000</v>
      </c>
      <c r="F51" s="291"/>
      <c r="G51" s="291"/>
      <c r="H51" s="307">
        <f>E51/Активы!$J$3</f>
        <v>144885.12058788585</v>
      </c>
    </row>
    <row r="52" spans="2:11" outlineLevel="1" x14ac:dyDescent="0.25">
      <c r="B52" s="265" t="s">
        <v>271</v>
      </c>
      <c r="C52" s="517"/>
      <c r="D52" s="268"/>
      <c r="E52" s="291">
        <v>7500000</v>
      </c>
      <c r="F52" s="291"/>
      <c r="G52" s="291"/>
      <c r="H52" s="307">
        <f>E52/Активы!$J$3</f>
        <v>108663.8404409144</v>
      </c>
    </row>
    <row r="53" spans="2:11" ht="18.75" x14ac:dyDescent="0.25">
      <c r="B53" s="331" t="s">
        <v>272</v>
      </c>
      <c r="C53" s="523"/>
      <c r="D53" s="331"/>
      <c r="E53" s="332"/>
      <c r="F53" s="333"/>
      <c r="G53" s="333"/>
      <c r="H53" s="331"/>
    </row>
    <row r="54" spans="2:11" outlineLevel="1" x14ac:dyDescent="0.25">
      <c r="B54" s="308" t="s">
        <v>273</v>
      </c>
      <c r="C54" s="524" t="s">
        <v>274</v>
      </c>
      <c r="D54" s="308" t="s">
        <v>275</v>
      </c>
      <c r="E54" s="291">
        <v>70000</v>
      </c>
      <c r="F54" s="291"/>
      <c r="G54" s="291"/>
      <c r="H54" s="307">
        <f>E54/Активы!$J$3</f>
        <v>1014.195844115201</v>
      </c>
    </row>
    <row r="55" spans="2:11" outlineLevel="1" x14ac:dyDescent="0.25">
      <c r="B55" s="265" t="s">
        <v>276</v>
      </c>
      <c r="C55" s="516">
        <v>10</v>
      </c>
      <c r="D55" s="265" t="s">
        <v>277</v>
      </c>
      <c r="E55" s="291">
        <v>2000000</v>
      </c>
      <c r="F55" s="291"/>
      <c r="G55" s="291"/>
      <c r="H55" s="307">
        <f>E55/Активы!$J$3</f>
        <v>28977.024117577173</v>
      </c>
    </row>
    <row r="56" spans="2:11" ht="18.75" x14ac:dyDescent="0.25">
      <c r="E56" s="334">
        <f>SUM(E54:E55,E49:E52,E44:E45,E34:E41,E18,E12:E13,E6:E7)</f>
        <v>25580500</v>
      </c>
      <c r="F56" s="334"/>
      <c r="G56" s="334"/>
      <c r="H56" s="335">
        <f>SUM(H54:H55,H49:H52,H44:H45,H34:H41,H6:H7,H12:H13,H18)</f>
        <v>370623.38271984138</v>
      </c>
    </row>
    <row r="59" spans="2:11" x14ac:dyDescent="0.25">
      <c r="D59" s="258"/>
      <c r="H59" s="336"/>
    </row>
    <row r="60" spans="2:11" x14ac:dyDescent="0.25">
      <c r="E60" s="337"/>
    </row>
    <row r="61" spans="2:11" x14ac:dyDescent="0.25">
      <c r="D61" s="338"/>
      <c r="E61" s="339"/>
      <c r="F61" s="340"/>
      <c r="I61" s="254"/>
      <c r="J61">
        <f>24833+12500</f>
        <v>37333</v>
      </c>
    </row>
    <row r="62" spans="2:11" x14ac:dyDescent="0.25">
      <c r="E62" s="341"/>
      <c r="F62" s="219"/>
      <c r="I62" s="254"/>
      <c r="J62" s="103">
        <f>J61-SUM(F61:F70)</f>
        <v>37333</v>
      </c>
    </row>
    <row r="63" spans="2:11" x14ac:dyDescent="0.25">
      <c r="E63" s="339"/>
      <c r="F63" s="340"/>
      <c r="K63" s="103"/>
    </row>
    <row r="64" spans="2:11" x14ac:dyDescent="0.25">
      <c r="E64" s="341"/>
      <c r="F64" s="219"/>
    </row>
    <row r="65" spans="5:6" x14ac:dyDescent="0.25">
      <c r="E65" s="339"/>
      <c r="F65" s="340"/>
    </row>
    <row r="66" spans="5:6" x14ac:dyDescent="0.25">
      <c r="E66" s="341"/>
      <c r="F66" s="219"/>
    </row>
    <row r="67" spans="5:6" x14ac:dyDescent="0.25">
      <c r="F67" s="219"/>
    </row>
    <row r="68" spans="5:6" x14ac:dyDescent="0.25">
      <c r="E68" s="219"/>
      <c r="F68" s="219"/>
    </row>
    <row r="69" spans="5:6" x14ac:dyDescent="0.25">
      <c r="E69" s="219"/>
      <c r="F69" s="219"/>
    </row>
    <row r="70" spans="5:6" x14ac:dyDescent="0.25">
      <c r="E70" s="219"/>
      <c r="F70" s="219"/>
    </row>
    <row r="71" spans="5:6" x14ac:dyDescent="0.25">
      <c r="E71" s="219"/>
      <c r="F71" s="219"/>
    </row>
    <row r="72" spans="5:6" x14ac:dyDescent="0.25">
      <c r="E72" s="219"/>
      <c r="F72" s="219"/>
    </row>
    <row r="73" spans="5:6" x14ac:dyDescent="0.25">
      <c r="E73" s="219"/>
      <c r="F73" s="219"/>
    </row>
    <row r="74" spans="5:6" x14ac:dyDescent="0.25">
      <c r="E74" s="219"/>
      <c r="F74" s="219"/>
    </row>
  </sheetData>
  <pageMargins left="0.7" right="0.7" top="0.75" bottom="0.75" header="0.3" footer="0.3"/>
  <pageSetup paperSize="9" firstPageNumber="4294967295" orientation="portrait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5">
    <tabColor theme="7" tint="0.39997558519241921"/>
  </sheetPr>
  <dimension ref="A1:V38"/>
  <sheetViews>
    <sheetView topLeftCell="A13" zoomScale="70" workbookViewId="0">
      <selection activeCell="H17" sqref="A17:XFD17"/>
    </sheetView>
  </sheetViews>
  <sheetFormatPr defaultRowHeight="15" x14ac:dyDescent="0.2"/>
  <cols>
    <col min="1" max="1" width="1.85546875" style="473" customWidth="1"/>
    <col min="2" max="2" width="16.7109375" style="473" customWidth="1"/>
    <col min="3" max="3" width="28.28515625" style="473" customWidth="1"/>
    <col min="4" max="4" width="24.28515625" style="473" customWidth="1"/>
    <col min="5" max="5" width="27.140625" style="473" bestFit="1" customWidth="1"/>
    <col min="6" max="6" width="17.42578125" style="473" customWidth="1"/>
    <col min="7" max="7" width="34.85546875" style="473" customWidth="1"/>
    <col min="8" max="8" width="21" style="473" customWidth="1"/>
    <col min="9" max="9" width="14" style="473" customWidth="1"/>
    <col min="10" max="10" width="14.140625" style="473" customWidth="1"/>
    <col min="11" max="11" width="16" style="473" customWidth="1"/>
    <col min="12" max="12" width="36.42578125" style="473" bestFit="1" customWidth="1"/>
    <col min="13" max="13" width="29.140625" style="473" customWidth="1"/>
    <col min="14" max="14" width="9.140625" style="473"/>
    <col min="15" max="15" width="27.5703125" style="473" bestFit="1" customWidth="1"/>
    <col min="16" max="16" width="23.85546875" style="473" customWidth="1"/>
    <col min="17" max="17" width="9.140625" style="473"/>
    <col min="18" max="18" width="15.28515625" style="473" bestFit="1" customWidth="1"/>
    <col min="19" max="19" width="10.5703125" style="474" customWidth="1"/>
    <col min="20" max="20" width="13.85546875" style="474" customWidth="1"/>
    <col min="21" max="21" width="9.140625" style="473"/>
    <col min="22" max="22" width="9.140625" style="474"/>
    <col min="23" max="16384" width="9.140625" style="473"/>
  </cols>
  <sheetData>
    <row r="1" spans="1:22" ht="15.75" x14ac:dyDescent="0.25">
      <c r="A1" s="475"/>
      <c r="B1" s="476" t="s">
        <v>57</v>
      </c>
      <c r="C1" s="477" t="s">
        <v>71</v>
      </c>
      <c r="D1" s="477" t="s">
        <v>20</v>
      </c>
      <c r="E1" s="478" t="s">
        <v>26</v>
      </c>
      <c r="F1" s="478" t="s">
        <v>19</v>
      </c>
      <c r="G1" s="477" t="s">
        <v>23</v>
      </c>
      <c r="H1" s="477" t="s">
        <v>24</v>
      </c>
      <c r="I1" s="477" t="s">
        <v>30</v>
      </c>
      <c r="J1" s="477" t="s">
        <v>29</v>
      </c>
      <c r="K1" s="477" t="s">
        <v>22</v>
      </c>
      <c r="L1" s="479" t="s">
        <v>72</v>
      </c>
      <c r="M1" s="479" t="s">
        <v>27</v>
      </c>
    </row>
    <row r="2" spans="1:22" ht="15.75" x14ac:dyDescent="0.25">
      <c r="B2" s="480" t="s">
        <v>88</v>
      </c>
      <c r="C2" s="481" t="s">
        <v>304</v>
      </c>
      <c r="D2" s="481" t="s">
        <v>99</v>
      </c>
      <c r="E2" s="481" t="s">
        <v>305</v>
      </c>
      <c r="F2" s="241" t="s">
        <v>96</v>
      </c>
      <c r="G2" s="481" t="s">
        <v>103</v>
      </c>
      <c r="H2" s="481" t="s">
        <v>306</v>
      </c>
      <c r="I2" s="481" t="s">
        <v>307</v>
      </c>
      <c r="J2" s="481" t="s">
        <v>105</v>
      </c>
      <c r="K2" s="241" t="s">
        <v>126</v>
      </c>
      <c r="L2" s="241" t="s">
        <v>40</v>
      </c>
      <c r="M2" s="241"/>
      <c r="O2" s="482" t="s">
        <v>308</v>
      </c>
      <c r="P2" s="483">
        <f>IFERROR(DATE('Повседневневные '!N1425,VLOOKUP('Повседневневные '!L1425,Справочник!R2:S14,2,0),1),"")</f>
        <v>44927</v>
      </c>
      <c r="R2" s="101" t="s">
        <v>56</v>
      </c>
      <c r="S2" s="101" t="s">
        <v>309</v>
      </c>
      <c r="T2" s="101"/>
      <c r="V2" s="484" t="s">
        <v>299</v>
      </c>
    </row>
    <row r="3" spans="1:22" ht="15.75" x14ac:dyDescent="0.25">
      <c r="C3" s="481" t="s">
        <v>94</v>
      </c>
      <c r="D3" s="481" t="s">
        <v>95</v>
      </c>
      <c r="E3" s="481" t="s">
        <v>120</v>
      </c>
      <c r="F3" s="241" t="s">
        <v>131</v>
      </c>
      <c r="G3" s="481" t="s">
        <v>137</v>
      </c>
      <c r="H3" s="481" t="s">
        <v>119</v>
      </c>
      <c r="I3" s="481" t="s">
        <v>310</v>
      </c>
      <c r="J3" s="481" t="s">
        <v>107</v>
      </c>
      <c r="K3" s="241" t="s">
        <v>104</v>
      </c>
      <c r="L3" s="241" t="s">
        <v>41</v>
      </c>
      <c r="M3" s="241"/>
      <c r="O3" s="482" t="s">
        <v>311</v>
      </c>
      <c r="P3" s="485">
        <f>IFERROR(EOMONTH(ДатаНачала,0),"")</f>
        <v>44957</v>
      </c>
      <c r="R3" s="486">
        <v>44197</v>
      </c>
      <c r="S3" s="90">
        <v>1</v>
      </c>
      <c r="T3" s="90"/>
      <c r="V3" s="487">
        <v>2021</v>
      </c>
    </row>
    <row r="4" spans="1:22" ht="15.75" x14ac:dyDescent="0.25">
      <c r="C4" s="481" t="s">
        <v>108</v>
      </c>
      <c r="D4" s="481" t="s">
        <v>97</v>
      </c>
      <c r="E4" s="481" t="s">
        <v>117</v>
      </c>
      <c r="F4" s="241"/>
      <c r="G4" s="481" t="s">
        <v>129</v>
      </c>
      <c r="H4" s="481" t="s">
        <v>124</v>
      </c>
      <c r="I4" s="481" t="s">
        <v>135</v>
      </c>
      <c r="J4" s="241" t="s">
        <v>312</v>
      </c>
      <c r="K4" s="241" t="s">
        <v>38</v>
      </c>
      <c r="L4" s="241" t="s">
        <v>42</v>
      </c>
      <c r="M4" s="241"/>
      <c r="R4" s="486">
        <v>44228</v>
      </c>
      <c r="S4" s="90">
        <v>2</v>
      </c>
      <c r="T4" s="90"/>
      <c r="V4" s="487">
        <v>2022</v>
      </c>
    </row>
    <row r="5" spans="1:22" ht="15.75" x14ac:dyDescent="0.25">
      <c r="C5" s="481" t="s">
        <v>91</v>
      </c>
      <c r="D5" s="481" t="s">
        <v>102</v>
      </c>
      <c r="E5" s="241" t="s">
        <v>168</v>
      </c>
      <c r="F5" s="241"/>
      <c r="G5" s="481" t="s">
        <v>111</v>
      </c>
      <c r="H5" s="241"/>
      <c r="I5" s="481" t="s">
        <v>100</v>
      </c>
      <c r="J5" s="241"/>
      <c r="K5" s="241" t="s">
        <v>114</v>
      </c>
      <c r="L5" s="241" t="s">
        <v>43</v>
      </c>
      <c r="M5" s="241"/>
      <c r="O5" s="488"/>
      <c r="P5" s="488"/>
      <c r="R5" s="486">
        <v>44256</v>
      </c>
      <c r="S5" s="90">
        <v>3</v>
      </c>
      <c r="T5" s="90"/>
      <c r="V5" s="487">
        <v>2023</v>
      </c>
    </row>
    <row r="6" spans="1:22" ht="15.75" x14ac:dyDescent="0.25">
      <c r="C6" s="241" t="s">
        <v>115</v>
      </c>
      <c r="D6" s="481" t="s">
        <v>136</v>
      </c>
      <c r="E6" s="241"/>
      <c r="F6" s="241"/>
      <c r="G6" s="241"/>
      <c r="H6" s="241"/>
      <c r="I6" s="241" t="s">
        <v>92</v>
      </c>
      <c r="J6" s="241"/>
      <c r="K6" s="241" t="s">
        <v>141</v>
      </c>
      <c r="L6" s="241" t="s">
        <v>44</v>
      </c>
      <c r="M6" s="241"/>
      <c r="R6" s="486">
        <v>44287</v>
      </c>
      <c r="S6" s="90">
        <v>4</v>
      </c>
      <c r="T6" s="90"/>
      <c r="V6" s="487">
        <v>2024</v>
      </c>
    </row>
    <row r="7" spans="1:22" ht="15.75" x14ac:dyDescent="0.25">
      <c r="C7" s="241"/>
      <c r="D7" s="481" t="s">
        <v>125</v>
      </c>
      <c r="E7" s="241"/>
      <c r="F7" s="241"/>
      <c r="G7" s="241"/>
      <c r="H7" s="241"/>
      <c r="I7" s="241" t="s">
        <v>98</v>
      </c>
      <c r="J7" s="241"/>
      <c r="K7" s="241"/>
      <c r="L7" s="241" t="s">
        <v>45</v>
      </c>
      <c r="M7" s="241"/>
      <c r="R7" s="486">
        <v>44317</v>
      </c>
      <c r="S7" s="90">
        <v>5</v>
      </c>
      <c r="T7" s="90"/>
      <c r="V7" s="487">
        <v>2025</v>
      </c>
    </row>
    <row r="8" spans="1:22" ht="15.75" x14ac:dyDescent="0.25">
      <c r="C8" s="241"/>
      <c r="D8" s="481" t="s">
        <v>118</v>
      </c>
      <c r="E8" s="241"/>
      <c r="F8" s="241"/>
      <c r="G8" s="241"/>
      <c r="H8" s="241"/>
      <c r="I8" s="241" t="s">
        <v>31</v>
      </c>
      <c r="J8" s="241"/>
      <c r="K8" s="241"/>
      <c r="L8" s="241" t="s">
        <v>121</v>
      </c>
      <c r="M8" s="241"/>
      <c r="R8" s="486">
        <v>44348</v>
      </c>
      <c r="S8" s="90">
        <v>6</v>
      </c>
      <c r="T8" s="90"/>
      <c r="V8" s="487">
        <v>2026</v>
      </c>
    </row>
    <row r="9" spans="1:22" ht="15.75" x14ac:dyDescent="0.25">
      <c r="C9" s="241"/>
      <c r="D9" s="481"/>
      <c r="E9" s="241"/>
      <c r="F9" s="241"/>
      <c r="G9" s="241"/>
      <c r="H9" s="241"/>
      <c r="I9" s="241"/>
      <c r="J9" s="241"/>
      <c r="K9" s="241"/>
      <c r="L9" s="241" t="s">
        <v>227</v>
      </c>
      <c r="M9" s="241"/>
      <c r="R9" s="486">
        <v>44378</v>
      </c>
      <c r="S9" s="90">
        <v>7</v>
      </c>
      <c r="T9" s="90"/>
      <c r="V9" s="487">
        <v>2027</v>
      </c>
    </row>
    <row r="10" spans="1:22" ht="15.75" x14ac:dyDescent="0.25">
      <c r="C10" s="241"/>
      <c r="D10" s="481"/>
      <c r="E10" s="241"/>
      <c r="F10" s="241"/>
      <c r="G10" s="241"/>
      <c r="H10" s="241"/>
      <c r="I10" s="241"/>
      <c r="J10" s="241"/>
      <c r="K10" s="241"/>
      <c r="L10" s="241" t="s">
        <v>127</v>
      </c>
      <c r="M10" s="241"/>
      <c r="R10" s="486">
        <v>44409</v>
      </c>
      <c r="S10" s="90">
        <v>8</v>
      </c>
      <c r="T10" s="90"/>
      <c r="V10" s="487">
        <v>2028</v>
      </c>
    </row>
    <row r="11" spans="1:22" ht="15.75" x14ac:dyDescent="0.25">
      <c r="C11" s="250"/>
      <c r="D11" s="481"/>
      <c r="E11" s="250"/>
      <c r="F11" s="250"/>
      <c r="G11" s="250"/>
      <c r="H11" s="250"/>
      <c r="I11" s="250"/>
      <c r="J11" s="250"/>
      <c r="K11" s="250"/>
      <c r="L11" s="250" t="s">
        <v>124</v>
      </c>
      <c r="M11" s="250"/>
      <c r="R11" s="486">
        <v>44440</v>
      </c>
      <c r="S11" s="90">
        <v>9</v>
      </c>
      <c r="T11" s="90"/>
      <c r="V11" s="487">
        <v>2029</v>
      </c>
    </row>
    <row r="12" spans="1:22" ht="15.75" x14ac:dyDescent="0.25">
      <c r="C12" s="241"/>
      <c r="D12" s="481"/>
      <c r="E12" s="241"/>
      <c r="F12" s="241"/>
      <c r="G12" s="241"/>
      <c r="H12" s="241"/>
      <c r="I12" s="241"/>
      <c r="J12" s="241"/>
      <c r="K12" s="241"/>
      <c r="L12" s="241" t="s">
        <v>132</v>
      </c>
      <c r="M12" s="241"/>
      <c r="R12" s="486">
        <v>44470</v>
      </c>
      <c r="S12" s="90">
        <v>10</v>
      </c>
      <c r="T12" s="90"/>
      <c r="V12" s="487">
        <v>2030</v>
      </c>
    </row>
    <row r="13" spans="1:22" ht="15.75" x14ac:dyDescent="0.25">
      <c r="C13" s="241"/>
      <c r="D13" s="481"/>
      <c r="E13" s="241"/>
      <c r="F13" s="241"/>
      <c r="G13" s="241"/>
      <c r="H13" s="241"/>
      <c r="I13" s="241"/>
      <c r="J13" s="241"/>
      <c r="K13" s="241"/>
      <c r="L13" s="241" t="s">
        <v>38</v>
      </c>
      <c r="M13" s="241"/>
      <c r="R13" s="486">
        <v>44501</v>
      </c>
      <c r="S13" s="90">
        <v>11</v>
      </c>
      <c r="T13" s="90"/>
      <c r="V13" s="487">
        <v>2031</v>
      </c>
    </row>
    <row r="14" spans="1:22" ht="15.75" x14ac:dyDescent="0.25">
      <c r="C14" s="241"/>
      <c r="D14" s="481"/>
      <c r="E14" s="241"/>
      <c r="F14" s="241"/>
      <c r="G14" s="241"/>
      <c r="H14" s="241"/>
      <c r="I14" s="241"/>
      <c r="J14" s="241"/>
      <c r="K14" s="241"/>
      <c r="L14" s="241"/>
      <c r="M14" s="241"/>
      <c r="R14" s="486">
        <v>44531</v>
      </c>
      <c r="S14" s="90">
        <v>12</v>
      </c>
      <c r="T14" s="90"/>
      <c r="V14" s="487">
        <v>2032</v>
      </c>
    </row>
    <row r="15" spans="1:22" ht="15.75" x14ac:dyDescent="0.25">
      <c r="C15" s="90"/>
      <c r="D15" s="489"/>
      <c r="E15" s="490"/>
      <c r="F15" s="490"/>
      <c r="G15" s="491"/>
      <c r="H15" s="491"/>
      <c r="I15" s="491"/>
      <c r="J15" s="491"/>
      <c r="K15" s="491"/>
      <c r="L15" s="491"/>
      <c r="M15" s="90"/>
      <c r="R15" s="90"/>
      <c r="S15" s="90"/>
      <c r="T15" s="90"/>
      <c r="V15" s="487">
        <v>2033</v>
      </c>
    </row>
    <row r="16" spans="1:22" ht="15.75" x14ac:dyDescent="0.25">
      <c r="C16" s="489"/>
      <c r="D16" s="489"/>
      <c r="E16" s="90"/>
      <c r="F16" s="90"/>
      <c r="G16" s="90"/>
      <c r="H16" s="90"/>
      <c r="I16" s="90"/>
      <c r="J16" s="90"/>
      <c r="K16" s="90"/>
      <c r="L16" s="90"/>
      <c r="M16" s="90"/>
      <c r="R16" s="101" t="s">
        <v>56</v>
      </c>
      <c r="S16" s="101" t="s">
        <v>309</v>
      </c>
      <c r="T16" s="101"/>
      <c r="V16" s="487">
        <v>2038</v>
      </c>
    </row>
    <row r="17" spans="2:22" ht="15.75" x14ac:dyDescent="0.25">
      <c r="B17" s="492"/>
      <c r="C17" s="489"/>
      <c r="D17" s="489"/>
      <c r="R17" s="493" t="s">
        <v>0</v>
      </c>
      <c r="S17" s="90">
        <v>1</v>
      </c>
      <c r="T17" s="90">
        <v>31</v>
      </c>
      <c r="V17" s="487">
        <v>2039</v>
      </c>
    </row>
    <row r="18" spans="2:22" ht="15.75" x14ac:dyDescent="0.25">
      <c r="B18" s="494"/>
      <c r="C18" s="495" t="s">
        <v>313</v>
      </c>
      <c r="D18" s="546" t="s">
        <v>75</v>
      </c>
      <c r="E18" s="496" t="s">
        <v>72</v>
      </c>
      <c r="R18" s="493" t="s">
        <v>1</v>
      </c>
      <c r="S18" s="90">
        <v>2</v>
      </c>
      <c r="T18" s="90">
        <v>28</v>
      </c>
      <c r="V18" s="487">
        <v>2040</v>
      </c>
    </row>
    <row r="19" spans="2:22" ht="15.75" x14ac:dyDescent="0.25">
      <c r="C19" s="497" t="s">
        <v>183</v>
      </c>
      <c r="D19" s="482" t="s">
        <v>195</v>
      </c>
      <c r="E19" s="498" t="s">
        <v>204</v>
      </c>
      <c r="R19" s="493" t="s">
        <v>2</v>
      </c>
      <c r="S19" s="90">
        <v>3</v>
      </c>
      <c r="T19" s="90">
        <v>31</v>
      </c>
      <c r="V19" s="487">
        <v>2041</v>
      </c>
    </row>
    <row r="20" spans="2:22" ht="15.75" x14ac:dyDescent="0.25">
      <c r="C20" s="497" t="s">
        <v>184</v>
      </c>
      <c r="D20" s="482" t="s">
        <v>197</v>
      </c>
      <c r="E20" s="498" t="s">
        <v>205</v>
      </c>
      <c r="R20" s="493" t="s">
        <v>3</v>
      </c>
      <c r="S20" s="90">
        <v>4</v>
      </c>
      <c r="T20" s="90">
        <v>30</v>
      </c>
      <c r="V20" s="487">
        <v>2042</v>
      </c>
    </row>
    <row r="21" spans="2:22" ht="15.75" x14ac:dyDescent="0.25">
      <c r="C21" s="497" t="s">
        <v>185</v>
      </c>
      <c r="D21" s="482" t="s">
        <v>314</v>
      </c>
      <c r="E21" s="498" t="s">
        <v>315</v>
      </c>
      <c r="R21" s="493" t="s">
        <v>4</v>
      </c>
      <c r="S21" s="90">
        <v>5</v>
      </c>
      <c r="T21" s="90">
        <v>31</v>
      </c>
      <c r="V21" s="487">
        <v>2043</v>
      </c>
    </row>
    <row r="22" spans="2:22" ht="15.75" x14ac:dyDescent="0.25">
      <c r="C22" s="497" t="s">
        <v>190</v>
      </c>
      <c r="D22" s="482" t="s">
        <v>196</v>
      </c>
      <c r="E22" s="498" t="s">
        <v>316</v>
      </c>
      <c r="R22" s="493" t="s">
        <v>5</v>
      </c>
      <c r="S22" s="90">
        <v>6</v>
      </c>
      <c r="T22" s="90">
        <v>30</v>
      </c>
      <c r="V22" s="487">
        <v>2044</v>
      </c>
    </row>
    <row r="23" spans="2:22" ht="15.75" x14ac:dyDescent="0.25">
      <c r="C23" s="497" t="s">
        <v>191</v>
      </c>
      <c r="D23" s="499"/>
      <c r="E23" s="498" t="s">
        <v>124</v>
      </c>
      <c r="R23" s="493" t="s">
        <v>6</v>
      </c>
      <c r="S23" s="90">
        <v>7</v>
      </c>
      <c r="T23" s="90">
        <v>31</v>
      </c>
      <c r="V23" s="487">
        <v>2045</v>
      </c>
    </row>
    <row r="24" spans="2:22" ht="15.75" x14ac:dyDescent="0.25">
      <c r="C24" s="497" t="s">
        <v>37</v>
      </c>
      <c r="E24" s="498" t="s">
        <v>317</v>
      </c>
      <c r="R24" s="493" t="s">
        <v>7</v>
      </c>
      <c r="S24" s="90">
        <v>8</v>
      </c>
      <c r="T24" s="90">
        <v>31</v>
      </c>
      <c r="V24" s="487">
        <v>2046</v>
      </c>
    </row>
    <row r="25" spans="2:22" ht="15.75" x14ac:dyDescent="0.25">
      <c r="C25" s="497" t="s">
        <v>192</v>
      </c>
      <c r="E25" s="498"/>
      <c r="R25" s="493" t="s">
        <v>8</v>
      </c>
      <c r="S25" s="90">
        <v>9</v>
      </c>
      <c r="T25" s="90">
        <v>30</v>
      </c>
      <c r="V25" s="487">
        <v>2047</v>
      </c>
    </row>
    <row r="26" spans="2:22" ht="15.75" x14ac:dyDescent="0.25">
      <c r="C26" s="497"/>
      <c r="E26" s="498"/>
      <c r="R26" s="493" t="s">
        <v>9</v>
      </c>
      <c r="S26" s="90">
        <v>10</v>
      </c>
      <c r="T26" s="90">
        <v>31</v>
      </c>
      <c r="V26" s="487">
        <v>2048</v>
      </c>
    </row>
    <row r="27" spans="2:22" ht="15.75" x14ac:dyDescent="0.25">
      <c r="C27" s="500"/>
      <c r="E27" s="501"/>
      <c r="R27" s="493" t="s">
        <v>10</v>
      </c>
      <c r="S27" s="90">
        <v>11</v>
      </c>
      <c r="T27" s="90">
        <v>30</v>
      </c>
      <c r="V27" s="487">
        <v>2049</v>
      </c>
    </row>
    <row r="28" spans="2:22" ht="15.75" x14ac:dyDescent="0.25">
      <c r="R28" s="493" t="s">
        <v>11</v>
      </c>
      <c r="S28" s="90">
        <v>12</v>
      </c>
      <c r="T28" s="90">
        <v>31</v>
      </c>
      <c r="V28" s="487">
        <v>2050</v>
      </c>
    </row>
    <row r="29" spans="2:22" x14ac:dyDescent="0.2">
      <c r="V29" s="487">
        <v>2051</v>
      </c>
    </row>
    <row r="30" spans="2:22" x14ac:dyDescent="0.2">
      <c r="V30" s="487">
        <v>2052</v>
      </c>
    </row>
    <row r="31" spans="2:22" x14ac:dyDescent="0.2">
      <c r="V31" s="487">
        <v>2053</v>
      </c>
    </row>
    <row r="32" spans="2:22" x14ac:dyDescent="0.2">
      <c r="V32" s="487">
        <v>2054</v>
      </c>
    </row>
    <row r="33" spans="22:22" x14ac:dyDescent="0.2">
      <c r="V33" s="487">
        <v>2055</v>
      </c>
    </row>
    <row r="34" spans="22:22" x14ac:dyDescent="0.2">
      <c r="V34" s="487">
        <v>2056</v>
      </c>
    </row>
    <row r="35" spans="22:22" x14ac:dyDescent="0.2">
      <c r="V35" s="487">
        <v>2057</v>
      </c>
    </row>
    <row r="36" spans="22:22" x14ac:dyDescent="0.2">
      <c r="V36" s="487">
        <v>2058</v>
      </c>
    </row>
    <row r="37" spans="22:22" x14ac:dyDescent="0.2">
      <c r="V37" s="487">
        <v>2059</v>
      </c>
    </row>
    <row r="38" spans="22:22" x14ac:dyDescent="0.2">
      <c r="V38" s="487">
        <v>2060</v>
      </c>
    </row>
  </sheetData>
  <pageMargins left="0.7" right="0.7" top="0.75" bottom="0.75" header="0.3" footer="0.3"/>
  <pageSetup paperSize="9" firstPageNumber="4294967295" orientation="portrait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8F24E3D-665E-4B86-B3CF-62F79082CAB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3</vt:i4>
      </vt:variant>
    </vt:vector>
  </HeadingPairs>
  <TitlesOfParts>
    <vt:vector size="15" baseType="lpstr">
      <vt:lpstr>Баланс за текущий год</vt:lpstr>
      <vt:lpstr>Диаграмма1</vt:lpstr>
      <vt:lpstr>График</vt:lpstr>
      <vt:lpstr>Повседневневные </vt:lpstr>
      <vt:lpstr>Доходы от</vt:lpstr>
      <vt:lpstr>Квартира</vt:lpstr>
      <vt:lpstr>Крупные. Цели</vt:lpstr>
      <vt:lpstr>Активы</vt:lpstr>
      <vt:lpstr>Лист1</vt:lpstr>
      <vt:lpstr>На цель через год</vt:lpstr>
      <vt:lpstr>Цели</vt:lpstr>
      <vt:lpstr>Справочник</vt:lpstr>
      <vt:lpstr>ДатаНачала</vt:lpstr>
      <vt:lpstr>ДатаОкончания</vt:lpstr>
      <vt:lpstr>Месяц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Elena</cp:lastModifiedBy>
  <cp:revision>1</cp:revision>
  <dcterms:created xsi:type="dcterms:W3CDTF">2015-06-05T18:19:34Z</dcterms:created>
  <dcterms:modified xsi:type="dcterms:W3CDTF">2023-01-11T16:38:52Z</dcterms:modified>
</cp:coreProperties>
</file>