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bo\Downloads\"/>
    </mc:Choice>
  </mc:AlternateContent>
  <xr:revisionPtr revIDLastSave="0" documentId="8_{837E4F4A-04E0-42E9-BD3D-77EAB648DB20}" xr6:coauthVersionLast="47" xr6:coauthVersionMax="47" xr10:uidLastSave="{00000000-0000-0000-0000-000000000000}"/>
  <bookViews>
    <workbookView xWindow="-120" yWindow="-120" windowWidth="19440" windowHeight="13920" activeTab="1" xr2:uid="{00000000-000D-0000-FFFF-FFFF00000000}"/>
  </bookViews>
  <sheets>
    <sheet name="Смета услуги заказчика" sheetId="20" r:id="rId1"/>
    <sheet name="график" sheetId="16" r:id="rId2"/>
  </sheets>
  <definedNames>
    <definedName name="_xlnm.Print_Titles" localSheetId="1">график!$1:$1</definedName>
    <definedName name="_xlnm.Print_Area" localSheetId="1">график!$A$1:$Z$43</definedName>
    <definedName name="_xlnm.Print_Area" localSheetId="0">'Смета услуги заказчика'!$A$1:$BH$309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24" i="20" l="1"/>
  <c r="C166" i="20" l="1"/>
  <c r="AH141" i="20"/>
  <c r="BA141" i="20" s="1"/>
  <c r="C297" i="20"/>
  <c r="A297" i="20"/>
  <c r="C296" i="20"/>
  <c r="A296" i="20"/>
  <c r="BK308" i="20"/>
  <c r="BK307" i="20"/>
  <c r="BK306" i="20"/>
  <c r="BK309" i="20"/>
  <c r="BK305" i="20"/>
  <c r="BA292" i="20"/>
  <c r="AB292" i="20"/>
  <c r="BA286" i="20"/>
  <c r="AN286" i="20"/>
  <c r="BA285" i="20"/>
  <c r="AN285" i="20"/>
  <c r="BA284" i="20"/>
  <c r="AB284" i="20"/>
  <c r="BA267" i="20"/>
  <c r="AB267" i="20"/>
  <c r="BA261" i="20"/>
  <c r="AN261" i="20"/>
  <c r="BA260" i="20"/>
  <c r="AN260" i="20"/>
  <c r="BA259" i="20"/>
  <c r="AB259" i="20"/>
  <c r="AH239" i="20"/>
  <c r="AH231" i="20"/>
  <c r="BA242" i="20"/>
  <c r="AB242" i="20"/>
  <c r="BA236" i="20"/>
  <c r="AN236" i="20"/>
  <c r="BA235" i="20"/>
  <c r="AN235" i="20"/>
  <c r="BA234" i="20"/>
  <c r="AB234" i="20"/>
  <c r="AH214" i="20"/>
  <c r="AL129" i="20"/>
  <c r="AL128" i="20"/>
  <c r="BA217" i="20"/>
  <c r="AB217" i="20"/>
  <c r="BA211" i="20"/>
  <c r="AN211" i="20"/>
  <c r="BA210" i="20"/>
  <c r="AN210" i="20"/>
  <c r="BA209" i="20"/>
  <c r="AB209" i="20"/>
  <c r="BA110" i="20"/>
  <c r="AB110" i="20"/>
  <c r="AN104" i="20"/>
  <c r="BA104" i="20"/>
  <c r="BA103" i="20"/>
  <c r="AN103" i="20"/>
  <c r="AB102" i="20"/>
  <c r="AB273" i="20"/>
  <c r="E39" i="16"/>
  <c r="AH273" i="20" s="1"/>
  <c r="C39" i="16"/>
  <c r="AB289" i="20" s="1"/>
  <c r="C272" i="20"/>
  <c r="A272" i="20"/>
  <c r="C271" i="20"/>
  <c r="A271" i="20"/>
  <c r="Y39" i="16"/>
  <c r="X39" i="16"/>
  <c r="W39" i="16"/>
  <c r="Z39" i="16"/>
  <c r="G39" i="16" s="1"/>
  <c r="V39" i="16"/>
  <c r="U39" i="16"/>
  <c r="T39" i="16"/>
  <c r="S39" i="16"/>
  <c r="R39" i="16"/>
  <c r="Q39" i="16"/>
  <c r="P39" i="16"/>
  <c r="O39" i="16"/>
  <c r="N39" i="16"/>
  <c r="M39" i="16"/>
  <c r="L39" i="16"/>
  <c r="K39" i="16"/>
  <c r="F39" i="16" s="1"/>
  <c r="J39" i="16"/>
  <c r="I39" i="16"/>
  <c r="H39" i="16"/>
  <c r="C247" i="20"/>
  <c r="A247" i="20"/>
  <c r="C246" i="20"/>
  <c r="A246" i="20"/>
  <c r="E37" i="16"/>
  <c r="AH264" i="20" s="1"/>
  <c r="C37" i="16"/>
  <c r="AB248" i="20" s="1"/>
  <c r="V37" i="16"/>
  <c r="Z37" i="16"/>
  <c r="Y37" i="16"/>
  <c r="X37" i="16"/>
  <c r="W37" i="16"/>
  <c r="G37" i="16" s="1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F37" i="16" s="1"/>
  <c r="AH223" i="20"/>
  <c r="C222" i="20"/>
  <c r="A222" i="20"/>
  <c r="C221" i="20"/>
  <c r="A221" i="20"/>
  <c r="E35" i="16"/>
  <c r="C35" i="16"/>
  <c r="AB239" i="20" s="1"/>
  <c r="Z35" i="16"/>
  <c r="V35" i="16"/>
  <c r="G35" i="16" s="1"/>
  <c r="Y35" i="16"/>
  <c r="X35" i="16"/>
  <c r="W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F35" i="16" s="1"/>
  <c r="AH198" i="20"/>
  <c r="AB198" i="20"/>
  <c r="E33" i="16"/>
  <c r="AH206" i="20" s="1"/>
  <c r="C33" i="16"/>
  <c r="AB206" i="20" s="1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G33" i="16" s="1"/>
  <c r="AW206" i="20" s="1"/>
  <c r="I33" i="16"/>
  <c r="H33" i="16"/>
  <c r="F33" i="16" s="1"/>
  <c r="AP214" i="20" s="1"/>
  <c r="C197" i="20"/>
  <c r="A197" i="20"/>
  <c r="C196" i="20"/>
  <c r="A196" i="20"/>
  <c r="AB189" i="20"/>
  <c r="C188" i="20"/>
  <c r="A188" i="20"/>
  <c r="AJ192" i="20"/>
  <c r="BA191" i="20"/>
  <c r="BA192" i="20" s="1"/>
  <c r="BJ192" i="20" s="1"/>
  <c r="AO308" i="20" s="1"/>
  <c r="C184" i="20"/>
  <c r="A184" i="20"/>
  <c r="BA186" i="20"/>
  <c r="AO307" i="20" s="1"/>
  <c r="C180" i="20"/>
  <c r="A180" i="20"/>
  <c r="BA182" i="20"/>
  <c r="AB177" i="20"/>
  <c r="C176" i="20"/>
  <c r="A176" i="20"/>
  <c r="BA178" i="20"/>
  <c r="C170" i="20"/>
  <c r="A170" i="20"/>
  <c r="AJ174" i="20"/>
  <c r="BA173" i="20"/>
  <c r="BA174" i="20" s="1"/>
  <c r="BJ174" i="20" s="1"/>
  <c r="AO306" i="20" s="1"/>
  <c r="AW167" i="20"/>
  <c r="A166" i="20"/>
  <c r="BA168" i="20"/>
  <c r="E31" i="16"/>
  <c r="AH189" i="20" s="1"/>
  <c r="C31" i="16"/>
  <c r="E29" i="16"/>
  <c r="AH181" i="20" s="1"/>
  <c r="C29" i="16"/>
  <c r="AB181" i="20" s="1"/>
  <c r="E28" i="16"/>
  <c r="AH177" i="20" s="1"/>
  <c r="C28" i="16"/>
  <c r="E27" i="16"/>
  <c r="AH171" i="20" s="1"/>
  <c r="C27" i="16"/>
  <c r="AB171" i="20" s="1"/>
  <c r="E26" i="16"/>
  <c r="AH167" i="20" s="1"/>
  <c r="C26" i="16"/>
  <c r="AB167" i="20" s="1"/>
  <c r="C165" i="20"/>
  <c r="A165" i="20"/>
  <c r="V31" i="16"/>
  <c r="U31" i="16"/>
  <c r="T31" i="16"/>
  <c r="Y31" i="16"/>
  <c r="X31" i="16"/>
  <c r="W31" i="16"/>
  <c r="G31" i="16" s="1"/>
  <c r="AW189" i="20" s="1"/>
  <c r="S31" i="16"/>
  <c r="R31" i="16"/>
  <c r="Q31" i="16"/>
  <c r="P31" i="16"/>
  <c r="O31" i="16"/>
  <c r="N31" i="16"/>
  <c r="M31" i="16"/>
  <c r="L31" i="16"/>
  <c r="K31" i="16"/>
  <c r="J31" i="16"/>
  <c r="I31" i="16"/>
  <c r="F31" i="16" s="1"/>
  <c r="AP189" i="20" s="1"/>
  <c r="H31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F29" i="16"/>
  <c r="AP181" i="20" s="1"/>
  <c r="M28" i="16"/>
  <c r="G28" i="16" s="1"/>
  <c r="AW177" i="20" s="1"/>
  <c r="L28" i="16"/>
  <c r="K28" i="16"/>
  <c r="J28" i="16"/>
  <c r="I28" i="16"/>
  <c r="H28" i="16"/>
  <c r="S27" i="16"/>
  <c r="R27" i="16"/>
  <c r="G27" i="16" s="1"/>
  <c r="AW171" i="20" s="1"/>
  <c r="Q27" i="16"/>
  <c r="P27" i="16"/>
  <c r="O27" i="16"/>
  <c r="N27" i="16"/>
  <c r="M27" i="16"/>
  <c r="L27" i="16"/>
  <c r="K27" i="16"/>
  <c r="J27" i="16"/>
  <c r="I27" i="16"/>
  <c r="H27" i="16"/>
  <c r="J26" i="16"/>
  <c r="G26" i="16" s="1"/>
  <c r="I26" i="16"/>
  <c r="F26" i="16" s="1"/>
  <c r="AP167" i="20" s="1"/>
  <c r="H26" i="16"/>
  <c r="G24" i="16"/>
  <c r="AW158" i="20" s="1"/>
  <c r="U24" i="16"/>
  <c r="C157" i="20"/>
  <c r="A157" i="20"/>
  <c r="BA161" i="20"/>
  <c r="AB161" i="20"/>
  <c r="AH152" i="20"/>
  <c r="C151" i="20"/>
  <c r="A151" i="20"/>
  <c r="BA155" i="20"/>
  <c r="AB155" i="20"/>
  <c r="C145" i="20"/>
  <c r="A145" i="20"/>
  <c r="BA149" i="20"/>
  <c r="AB149" i="20"/>
  <c r="AN142" i="20"/>
  <c r="AW137" i="20"/>
  <c r="AH137" i="20"/>
  <c r="BA142" i="20"/>
  <c r="AB140" i="20"/>
  <c r="C136" i="20"/>
  <c r="A136" i="20"/>
  <c r="AH133" i="20"/>
  <c r="C132" i="20"/>
  <c r="A132" i="20"/>
  <c r="BA134" i="20"/>
  <c r="AH127" i="20"/>
  <c r="C126" i="20"/>
  <c r="A126" i="20"/>
  <c r="AB116" i="20"/>
  <c r="E24" i="16"/>
  <c r="AH158" i="20" s="1"/>
  <c r="C24" i="16"/>
  <c r="AB158" i="20" s="1"/>
  <c r="E23" i="16"/>
  <c r="C23" i="16"/>
  <c r="AB152" i="20" s="1"/>
  <c r="E22" i="16"/>
  <c r="AH146" i="20" s="1"/>
  <c r="C22" i="16"/>
  <c r="AB146" i="20" s="1"/>
  <c r="E21" i="16"/>
  <c r="C21" i="16"/>
  <c r="AB137" i="20" s="1"/>
  <c r="E20" i="16"/>
  <c r="C20" i="16"/>
  <c r="AB133" i="20" s="1"/>
  <c r="E19" i="16"/>
  <c r="C19" i="16"/>
  <c r="AB127" i="20" s="1"/>
  <c r="E18" i="16"/>
  <c r="AH116" i="20" s="1"/>
  <c r="C18" i="16"/>
  <c r="AB121" i="20" s="1"/>
  <c r="V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F24" i="16" s="1"/>
  <c r="AP158" i="20" s="1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AW152" i="20" s="1"/>
  <c r="U22" i="16"/>
  <c r="T22" i="16"/>
  <c r="G22" i="16" s="1"/>
  <c r="AW146" i="20" s="1"/>
  <c r="S22" i="16"/>
  <c r="R22" i="16"/>
  <c r="Q22" i="16"/>
  <c r="P22" i="16"/>
  <c r="O22" i="16"/>
  <c r="N22" i="16"/>
  <c r="M22" i="16"/>
  <c r="L22" i="16"/>
  <c r="K22" i="16"/>
  <c r="J22" i="16"/>
  <c r="I22" i="16"/>
  <c r="F22" i="16" s="1"/>
  <c r="AP146" i="20" s="1"/>
  <c r="H22" i="16"/>
  <c r="G21" i="16"/>
  <c r="S21" i="16"/>
  <c r="T21" i="16"/>
  <c r="R21" i="16"/>
  <c r="Q21" i="16"/>
  <c r="P21" i="16"/>
  <c r="O21" i="16"/>
  <c r="N21" i="16"/>
  <c r="M21" i="16"/>
  <c r="L21" i="16"/>
  <c r="K21" i="16"/>
  <c r="J21" i="16"/>
  <c r="I21" i="16"/>
  <c r="H21" i="16"/>
  <c r="F21" i="16" s="1"/>
  <c r="AP137" i="20" s="1"/>
  <c r="Q18" i="16"/>
  <c r="R19" i="16"/>
  <c r="Q19" i="16"/>
  <c r="P19" i="16"/>
  <c r="O19" i="16"/>
  <c r="N19" i="16"/>
  <c r="M19" i="16"/>
  <c r="L19" i="16"/>
  <c r="K19" i="16"/>
  <c r="J19" i="16"/>
  <c r="I19" i="16"/>
  <c r="H19" i="16"/>
  <c r="F19" i="16" s="1"/>
  <c r="AP127" i="20" s="1"/>
  <c r="S19" i="16"/>
  <c r="G19" i="16" s="1"/>
  <c r="AW127" i="20" s="1"/>
  <c r="T19" i="16"/>
  <c r="R20" i="16"/>
  <c r="Q20" i="16"/>
  <c r="P20" i="16"/>
  <c r="O20" i="16"/>
  <c r="N20" i="16"/>
  <c r="M20" i="16"/>
  <c r="L20" i="16"/>
  <c r="K20" i="16"/>
  <c r="J20" i="16"/>
  <c r="I20" i="16"/>
  <c r="F20" i="16" s="1"/>
  <c r="AP133" i="20" s="1"/>
  <c r="H20" i="16"/>
  <c r="S20" i="16"/>
  <c r="G20" i="16" s="1"/>
  <c r="AW133" i="20" s="1"/>
  <c r="P18" i="16"/>
  <c r="O18" i="16"/>
  <c r="N18" i="16"/>
  <c r="M18" i="16"/>
  <c r="L18" i="16"/>
  <c r="K18" i="16"/>
  <c r="J18" i="16"/>
  <c r="I18" i="16"/>
  <c r="F18" i="16" s="1"/>
  <c r="H18" i="16"/>
  <c r="R18" i="16"/>
  <c r="G18" i="16" s="1"/>
  <c r="D120" i="20"/>
  <c r="AB119" i="20" s="1"/>
  <c r="A117" i="20"/>
  <c r="C115" i="20"/>
  <c r="A115" i="20"/>
  <c r="C114" i="20"/>
  <c r="A114" i="20"/>
  <c r="AB91" i="20"/>
  <c r="BC34" i="20"/>
  <c r="E16" i="16"/>
  <c r="AH91" i="20" s="1"/>
  <c r="C16" i="16"/>
  <c r="AB107" i="20" s="1"/>
  <c r="AP239" i="20" l="1"/>
  <c r="AP231" i="20"/>
  <c r="AP223" i="20"/>
  <c r="AW121" i="20"/>
  <c r="AW116" i="20"/>
  <c r="AW223" i="20"/>
  <c r="AW239" i="20"/>
  <c r="AB243" i="20" s="1"/>
  <c r="AW231" i="20"/>
  <c r="AP264" i="20"/>
  <c r="AP256" i="20"/>
  <c r="AP248" i="20"/>
  <c r="AP289" i="20"/>
  <c r="BA293" i="20" s="1"/>
  <c r="AP281" i="20"/>
  <c r="AP273" i="20"/>
  <c r="AW273" i="20"/>
  <c r="AW289" i="20"/>
  <c r="AW281" i="20"/>
  <c r="AW248" i="20"/>
  <c r="AW264" i="20"/>
  <c r="AB268" i="20" s="1"/>
  <c r="AW256" i="20"/>
  <c r="AP121" i="20"/>
  <c r="AP116" i="20"/>
  <c r="F27" i="16"/>
  <c r="AP171" i="20" s="1"/>
  <c r="BA175" i="20" s="1"/>
  <c r="F28" i="16"/>
  <c r="AP177" i="20" s="1"/>
  <c r="BA179" i="20" s="1"/>
  <c r="AW198" i="20"/>
  <c r="AB223" i="20"/>
  <c r="AH248" i="20"/>
  <c r="AH99" i="20"/>
  <c r="AH107" i="20"/>
  <c r="AH121" i="20"/>
  <c r="AW214" i="20"/>
  <c r="F23" i="16"/>
  <c r="AP152" i="20" s="1"/>
  <c r="AB156" i="20" s="1"/>
  <c r="AP206" i="20"/>
  <c r="AB130" i="20"/>
  <c r="AB214" i="20"/>
  <c r="AB231" i="20"/>
  <c r="AB256" i="20"/>
  <c r="AB264" i="20"/>
  <c r="AB281" i="20"/>
  <c r="AN141" i="20"/>
  <c r="AH281" i="20"/>
  <c r="AH289" i="20"/>
  <c r="AH256" i="20"/>
  <c r="G29" i="16"/>
  <c r="AW181" i="20" s="1"/>
  <c r="AB183" i="20" s="1"/>
  <c r="AP198" i="20"/>
  <c r="AB99" i="20"/>
  <c r="BJ286" i="20"/>
  <c r="BA287" i="20" s="1"/>
  <c r="BA130" i="20"/>
  <c r="AB131" i="20" s="1"/>
  <c r="BJ261" i="20"/>
  <c r="BA262" i="20" s="1"/>
  <c r="BA268" i="20"/>
  <c r="BA124" i="20"/>
  <c r="BJ236" i="20"/>
  <c r="BA237" i="20" s="1"/>
  <c r="BA243" i="20"/>
  <c r="BJ211" i="20"/>
  <c r="BA212" i="20" s="1"/>
  <c r="BA218" i="20"/>
  <c r="AB218" i="20"/>
  <c r="BJ104" i="20"/>
  <c r="BA102" i="20"/>
  <c r="BA194" i="20"/>
  <c r="BA193" i="20"/>
  <c r="BA308" i="20" s="1"/>
  <c r="BA183" i="20"/>
  <c r="AB193" i="20"/>
  <c r="BA187" i="20"/>
  <c r="BA307" i="20" s="1"/>
  <c r="AB179" i="20"/>
  <c r="BA169" i="20"/>
  <c r="AB169" i="20"/>
  <c r="BA162" i="20"/>
  <c r="BA150" i="20"/>
  <c r="AB162" i="20"/>
  <c r="BA156" i="20"/>
  <c r="AB150" i="20"/>
  <c r="BA140" i="20"/>
  <c r="BA119" i="20"/>
  <c r="BA135" i="20"/>
  <c r="AB135" i="20"/>
  <c r="AB293" i="20" l="1"/>
  <c r="AB175" i="20"/>
  <c r="BA125" i="20"/>
  <c r="BA131" i="20"/>
  <c r="AB287" i="20"/>
  <c r="AB288" i="20"/>
  <c r="BA288" i="20"/>
  <c r="AB262" i="20"/>
  <c r="BA306" i="20"/>
  <c r="AB237" i="20"/>
  <c r="BA263" i="20"/>
  <c r="AB263" i="20"/>
  <c r="BA238" i="20"/>
  <c r="AB238" i="20"/>
  <c r="AB125" i="20"/>
  <c r="BA213" i="20"/>
  <c r="AB213" i="20"/>
  <c r="AB212" i="20"/>
  <c r="BA105" i="20"/>
  <c r="AB105" i="20"/>
  <c r="BA195" i="20"/>
  <c r="BJ142" i="20"/>
  <c r="AB143" i="20" s="1"/>
  <c r="AB120" i="20"/>
  <c r="BA120" i="20"/>
  <c r="BA143" i="20" l="1"/>
  <c r="BA163" i="20" s="1"/>
  <c r="AB144" i="20" l="1"/>
  <c r="BA144" i="20"/>
  <c r="BA164" i="20" s="1"/>
  <c r="C90" i="20" l="1"/>
  <c r="A90" i="20"/>
  <c r="C89" i="20"/>
  <c r="A89" i="20"/>
  <c r="C83" i="20"/>
  <c r="A83" i="20"/>
  <c r="BA85" i="20"/>
  <c r="G13" i="16"/>
  <c r="AW80" i="20" s="1"/>
  <c r="AH80" i="20"/>
  <c r="AB80" i="20"/>
  <c r="C79" i="20"/>
  <c r="A79" i="20"/>
  <c r="BA81" i="20"/>
  <c r="E14" i="16"/>
  <c r="AH84" i="20" s="1"/>
  <c r="C14" i="16"/>
  <c r="AB84" i="20" s="1"/>
  <c r="E13" i="16"/>
  <c r="C13" i="16"/>
  <c r="M16" i="16"/>
  <c r="L16" i="16"/>
  <c r="K16" i="16"/>
  <c r="J16" i="16"/>
  <c r="I16" i="16"/>
  <c r="H16" i="16"/>
  <c r="F16" i="16" s="1"/>
  <c r="M13" i="16"/>
  <c r="L13" i="16"/>
  <c r="Q16" i="16"/>
  <c r="P16" i="16"/>
  <c r="G16" i="16" s="1"/>
  <c r="O16" i="16"/>
  <c r="N16" i="16"/>
  <c r="L14" i="16"/>
  <c r="K14" i="16"/>
  <c r="F14" i="16" s="1"/>
  <c r="AP84" i="20" s="1"/>
  <c r="J14" i="16"/>
  <c r="I14" i="16"/>
  <c r="H14" i="16"/>
  <c r="N14" i="16"/>
  <c r="G14" i="16" s="1"/>
  <c r="AW84" i="20" s="1"/>
  <c r="M14" i="16"/>
  <c r="K13" i="16"/>
  <c r="J13" i="16"/>
  <c r="I13" i="16"/>
  <c r="H13" i="16"/>
  <c r="F13" i="16" s="1"/>
  <c r="AP80" i="20" s="1"/>
  <c r="C78" i="20"/>
  <c r="A78" i="20"/>
  <c r="C70" i="20"/>
  <c r="A70" i="20"/>
  <c r="C64" i="20"/>
  <c r="A64" i="20"/>
  <c r="C58" i="20"/>
  <c r="A58" i="20"/>
  <c r="AW107" i="20" l="1"/>
  <c r="AW99" i="20"/>
  <c r="AW91" i="20"/>
  <c r="AP107" i="20"/>
  <c r="AP99" i="20"/>
  <c r="AP91" i="20"/>
  <c r="BA87" i="20"/>
  <c r="BA86" i="20"/>
  <c r="AB86" i="20"/>
  <c r="AB82" i="20"/>
  <c r="BA82" i="20"/>
  <c r="D57" i="20"/>
  <c r="E11" i="16"/>
  <c r="AH71" i="20" s="1"/>
  <c r="C11" i="16"/>
  <c r="AB71" i="20" s="1"/>
  <c r="E10" i="16"/>
  <c r="AH65" i="20" s="1"/>
  <c r="C10" i="16"/>
  <c r="AB65" i="20" s="1"/>
  <c r="E9" i="16"/>
  <c r="AH59" i="20" s="1"/>
  <c r="C9" i="16"/>
  <c r="AB59" i="20" s="1"/>
  <c r="E8" i="16"/>
  <c r="AH53" i="20" s="1"/>
  <c r="C8" i="16"/>
  <c r="AB53" i="20" s="1"/>
  <c r="M11" i="16"/>
  <c r="G11" i="16" s="1"/>
  <c r="AW71" i="20" s="1"/>
  <c r="L10" i="16"/>
  <c r="K10" i="16"/>
  <c r="G10" i="16" s="1"/>
  <c r="AW65" i="20" s="1"/>
  <c r="L9" i="16"/>
  <c r="G9" i="16" s="1"/>
  <c r="AW59" i="20" s="1"/>
  <c r="K8" i="16"/>
  <c r="J8" i="16"/>
  <c r="G8" i="16" s="1"/>
  <c r="AW53" i="20" s="1"/>
  <c r="L11" i="16"/>
  <c r="K11" i="16"/>
  <c r="J11" i="16"/>
  <c r="J10" i="16"/>
  <c r="K9" i="16"/>
  <c r="J9" i="16"/>
  <c r="I11" i="16"/>
  <c r="H11" i="16"/>
  <c r="I10" i="16"/>
  <c r="H10" i="16"/>
  <c r="F10" i="16" s="1"/>
  <c r="AP65" i="20" s="1"/>
  <c r="I9" i="16"/>
  <c r="H9" i="16"/>
  <c r="I8" i="16"/>
  <c r="H8" i="16"/>
  <c r="F8" i="16" s="1"/>
  <c r="AP53" i="20" s="1"/>
  <c r="C52" i="20"/>
  <c r="A52" i="20"/>
  <c r="C51" i="20"/>
  <c r="F11" i="16" l="1"/>
  <c r="AP71" i="20" s="1"/>
  <c r="BA111" i="20"/>
  <c r="AB111" i="20"/>
  <c r="F9" i="16"/>
  <c r="AP59" i="20" s="1"/>
  <c r="AB106" i="20"/>
  <c r="BA106" i="20"/>
  <c r="D205" i="20"/>
  <c r="AN203" i="20" s="1"/>
  <c r="D230" i="20"/>
  <c r="D255" i="20"/>
  <c r="D280" i="20"/>
  <c r="BA203" i="20"/>
  <c r="BA88" i="20"/>
  <c r="D75" i="20"/>
  <c r="D69" i="20"/>
  <c r="D63" i="20"/>
  <c r="BA56" i="20"/>
  <c r="BA57" i="20" s="1"/>
  <c r="AB56" i="20"/>
  <c r="C37" i="20"/>
  <c r="C45" i="20"/>
  <c r="A45" i="20"/>
  <c r="BA47" i="20"/>
  <c r="AH42" i="20"/>
  <c r="C41" i="20"/>
  <c r="A41" i="20"/>
  <c r="BA43" i="20"/>
  <c r="AB38" i="20"/>
  <c r="AH38" i="20"/>
  <c r="A37" i="20"/>
  <c r="BA39" i="20"/>
  <c r="AO304" i="20" s="1"/>
  <c r="F6" i="16"/>
  <c r="AP46" i="20" s="1"/>
  <c r="F4" i="16"/>
  <c r="AW38" i="20" s="1"/>
  <c r="C6" i="16"/>
  <c r="AB46" i="20" s="1"/>
  <c r="E6" i="16"/>
  <c r="AH46" i="20" s="1"/>
  <c r="E5" i="16"/>
  <c r="C5" i="16"/>
  <c r="AB42" i="20" s="1"/>
  <c r="E4" i="16"/>
  <c r="C4" i="16"/>
  <c r="I4" i="16"/>
  <c r="I5" i="16"/>
  <c r="I6" i="16"/>
  <c r="H6" i="16"/>
  <c r="H5" i="16"/>
  <c r="F5" i="16" s="1"/>
  <c r="AP42" i="20" s="1"/>
  <c r="K6" i="16"/>
  <c r="G6" i="16" s="1"/>
  <c r="AW46" i="20" s="1"/>
  <c r="J6" i="16"/>
  <c r="J5" i="16"/>
  <c r="G5" i="16" s="1"/>
  <c r="AW42" i="20" s="1"/>
  <c r="K4" i="16"/>
  <c r="J4" i="16"/>
  <c r="G4" i="16" s="1"/>
  <c r="AP38" i="20" s="1"/>
  <c r="H4" i="16"/>
  <c r="AU19" i="20"/>
  <c r="AU18" i="20"/>
  <c r="AL19" i="20"/>
  <c r="AZ19" i="20" s="1"/>
  <c r="AL18" i="20"/>
  <c r="AZ18" i="20" s="1"/>
  <c r="BK303" i="20" l="1"/>
  <c r="BK304" i="20"/>
  <c r="D98" i="20"/>
  <c r="AH202" i="20"/>
  <c r="BA202" i="20" s="1"/>
  <c r="BJ203" i="20" s="1"/>
  <c r="BA201" i="20"/>
  <c r="AB201" i="20"/>
  <c r="AB251" i="20"/>
  <c r="BA253" i="20"/>
  <c r="AN253" i="20"/>
  <c r="BA251" i="20"/>
  <c r="AH252" i="20"/>
  <c r="AN278" i="20"/>
  <c r="AH277" i="20"/>
  <c r="BA276" i="20"/>
  <c r="BA278" i="20"/>
  <c r="AB276" i="20"/>
  <c r="AN228" i="20"/>
  <c r="BA228" i="20"/>
  <c r="AH227" i="20"/>
  <c r="BA226" i="20"/>
  <c r="AB226" i="20"/>
  <c r="AB57" i="20"/>
  <c r="BA74" i="20"/>
  <c r="AB74" i="20"/>
  <c r="AB62" i="20"/>
  <c r="BA62" i="20"/>
  <c r="AB68" i="20"/>
  <c r="BA68" i="20"/>
  <c r="AB40" i="20"/>
  <c r="BA40" i="20"/>
  <c r="BA304" i="20" s="1"/>
  <c r="BA48" i="20"/>
  <c r="AB48" i="20"/>
  <c r="AB44" i="20"/>
  <c r="BA44" i="20"/>
  <c r="BA49" i="20"/>
  <c r="BE18" i="20"/>
  <c r="BE19" i="20"/>
  <c r="BC318" i="20"/>
  <c r="BC315" i="20"/>
  <c r="BA96" i="20" l="1"/>
  <c r="AH95" i="20"/>
  <c r="BA95" i="20" s="1"/>
  <c r="AN96" i="20"/>
  <c r="AB94" i="20"/>
  <c r="BA94" i="20"/>
  <c r="BA204" i="20"/>
  <c r="BA219" i="20" s="1"/>
  <c r="AN202" i="20"/>
  <c r="BA277" i="20"/>
  <c r="BJ278" i="20" s="1"/>
  <c r="BA279" i="20" s="1"/>
  <c r="BA294" i="20" s="1"/>
  <c r="AN277" i="20"/>
  <c r="BA227" i="20"/>
  <c r="BJ228" i="20" s="1"/>
  <c r="BA229" i="20" s="1"/>
  <c r="BA244" i="20" s="1"/>
  <c r="AN227" i="20"/>
  <c r="BA252" i="20"/>
  <c r="BJ253" i="20" s="1"/>
  <c r="BA254" i="20" s="1"/>
  <c r="BA269" i="20" s="1"/>
  <c r="AN252" i="20"/>
  <c r="AB204" i="20"/>
  <c r="AB75" i="20"/>
  <c r="BA75" i="20"/>
  <c r="BA63" i="20"/>
  <c r="AB63" i="20"/>
  <c r="BA76" i="20"/>
  <c r="AO305" i="20" s="1"/>
  <c r="AB69" i="20"/>
  <c r="BA69" i="20"/>
  <c r="BA50" i="20"/>
  <c r="AQ313" i="20"/>
  <c r="AQ314" i="20"/>
  <c r="BJ96" i="20" l="1"/>
  <c r="AB97" i="20" s="1"/>
  <c r="AN95" i="20"/>
  <c r="BA97" i="20"/>
  <c r="BA112" i="20" s="1"/>
  <c r="AO303" i="20" s="1"/>
  <c r="AO309" i="20" s="1"/>
  <c r="BA205" i="20"/>
  <c r="BA220" i="20" s="1"/>
  <c r="AB205" i="20"/>
  <c r="AB229" i="20"/>
  <c r="BA255" i="20"/>
  <c r="BA270" i="20" s="1"/>
  <c r="AB255" i="20"/>
  <c r="BA280" i="20"/>
  <c r="BA295" i="20" s="1"/>
  <c r="AB280" i="20"/>
  <c r="AB230" i="20"/>
  <c r="BA230" i="20"/>
  <c r="BA245" i="20" s="1"/>
  <c r="AB279" i="20"/>
  <c r="AB254" i="20"/>
  <c r="BA77" i="20"/>
  <c r="BA305" i="20" l="1"/>
  <c r="AB98" i="20"/>
  <c r="BA98" i="20"/>
  <c r="BA113" i="20" s="1"/>
  <c r="AN298" i="20" s="1"/>
  <c r="BA303" i="20" l="1"/>
  <c r="BA300" i="20"/>
  <c r="AB300" i="20"/>
  <c r="BA302" i="20" l="1"/>
  <c r="BA309" i="20" l="1"/>
</calcChain>
</file>

<file path=xl/sharedStrings.xml><?xml version="1.0" encoding="utf-8"?>
<sst xmlns="http://schemas.openxmlformats.org/spreadsheetml/2006/main" count="1476" uniqueCount="285">
  <si>
    <t>1.1</t>
  </si>
  <si>
    <t>-</t>
  </si>
  <si>
    <t>1.2</t>
  </si>
  <si>
    <t>2</t>
  </si>
  <si>
    <t>2.1</t>
  </si>
  <si>
    <t>2.2</t>
  </si>
  <si>
    <t>2.3</t>
  </si>
  <si>
    <t>2.4</t>
  </si>
  <si>
    <t>3</t>
  </si>
  <si>
    <t>3.1</t>
  </si>
  <si>
    <t>3.2</t>
  </si>
  <si>
    <t>4</t>
  </si>
  <si>
    <t>4.1</t>
  </si>
  <si>
    <t>5</t>
  </si>
  <si>
    <t>5.1</t>
  </si>
  <si>
    <t>5.2</t>
  </si>
  <si>
    <t>6</t>
  </si>
  <si>
    <t>6.1</t>
  </si>
  <si>
    <t>7</t>
  </si>
  <si>
    <t>7.1</t>
  </si>
  <si>
    <t>8</t>
  </si>
  <si>
    <t>8.1</t>
  </si>
  <si>
    <t>НЗТ</t>
  </si>
  <si>
    <t>руб.</t>
  </si>
  <si>
    <t>5.3</t>
  </si>
  <si>
    <t>60-квартирный жилой дом</t>
  </si>
  <si>
    <t>Хозяйственно-бытовая канализация диаметром 160 мм</t>
  </si>
  <si>
    <t>Расчет</t>
  </si>
  <si>
    <t>=</t>
  </si>
  <si>
    <t>«Многоквартирный жилой дом с инженерной и транспортной инфраструктурой»</t>
  </si>
  <si>
    <t>II степень сложности</t>
  </si>
  <si>
    <t>№</t>
  </si>
  <si>
    <t>Обоснование</t>
  </si>
  <si>
    <t>Результат</t>
  </si>
  <si>
    <t>Должность исполнителя</t>
  </si>
  <si>
    <t>Доля участия</t>
  </si>
  <si>
    <t>Итого:</t>
  </si>
  <si>
    <t>инженер I категории</t>
  </si>
  <si>
    <t>инженер II категории</t>
  </si>
  <si>
    <r>
      <t>X</t>
    </r>
    <r>
      <rPr>
        <vertAlign val="subscript"/>
        <sz val="8"/>
        <color theme="1"/>
        <rFont val="Calibri"/>
        <family val="2"/>
        <charset val="204"/>
        <scheme val="minor"/>
      </rPr>
      <t>мин</t>
    </r>
  </si>
  <si>
    <r>
      <t>НЗТ</t>
    </r>
    <r>
      <rPr>
        <vertAlign val="subscript"/>
        <sz val="8"/>
        <color theme="1"/>
        <rFont val="Calibri"/>
        <family val="2"/>
        <charset val="204"/>
        <scheme val="minor"/>
      </rPr>
      <t>мин</t>
    </r>
  </si>
  <si>
    <r>
      <t>X</t>
    </r>
    <r>
      <rPr>
        <vertAlign val="subscript"/>
        <sz val="8"/>
        <color theme="1"/>
        <rFont val="Calibri"/>
        <family val="2"/>
        <charset val="204"/>
        <scheme val="minor"/>
      </rPr>
      <t>мин+1</t>
    </r>
  </si>
  <si>
    <r>
      <t>НЗТ</t>
    </r>
    <r>
      <rPr>
        <vertAlign val="subscript"/>
        <sz val="8"/>
        <color theme="1"/>
        <rFont val="Calibri"/>
        <family val="2"/>
        <charset val="204"/>
        <scheme val="minor"/>
      </rPr>
      <t>мин+1</t>
    </r>
  </si>
  <si>
    <r>
      <t>X</t>
    </r>
    <r>
      <rPr>
        <vertAlign val="subscript"/>
        <sz val="8"/>
        <color theme="1"/>
        <rFont val="Calibri"/>
        <family val="2"/>
        <charset val="204"/>
        <scheme val="minor"/>
      </rPr>
      <t>макс</t>
    </r>
  </si>
  <si>
    <r>
      <t>НЗТ</t>
    </r>
    <r>
      <rPr>
        <vertAlign val="subscript"/>
        <sz val="8"/>
        <color theme="1"/>
        <rFont val="Calibri"/>
        <family val="2"/>
        <charset val="204"/>
        <scheme val="minor"/>
      </rPr>
      <t>макс</t>
    </r>
  </si>
  <si>
    <t>период:</t>
  </si>
  <si>
    <t>Затраты труда</t>
  </si>
  <si>
    <t>приложение № {1} к договору от {хх.хх.хххх} № {ххх}</t>
  </si>
  <si>
    <t>СОГЛАСОВАНО</t>
  </si>
  <si>
    <t>УТВЕРЖДЕНО</t>
  </si>
  <si>
    <t>{должность согласовывающего}</t>
  </si>
  <si>
    <t>{должность утверждающего}</t>
  </si>
  <si>
    <t>{Ф.И.О }</t>
  </si>
  <si>
    <t>подпись</t>
  </si>
  <si>
    <t>"</t>
  </si>
  <si>
    <t>г.</t>
  </si>
  <si>
    <t>Объект строительства:</t>
  </si>
  <si>
    <t>Заказчик:</t>
  </si>
  <si>
    <t>{заказчик}</t>
  </si>
  <si>
    <t>Смета составлена по состоянию на:</t>
  </si>
  <si>
    <t>Инженерная организация:</t>
  </si>
  <si>
    <t>{инженерная организация}</t>
  </si>
  <si>
    <t>1</t>
  </si>
  <si>
    <t>0,5</t>
  </si>
  <si>
    <t>100%</t>
  </si>
  <si>
    <t>2,5</t>
  </si>
  <si>
    <t>1,5</t>
  </si>
  <si>
    <t>9</t>
  </si>
  <si>
    <t>12</t>
  </si>
  <si>
    <t>9.1</t>
  </si>
  <si>
    <t>Характеристики объекта строительства</t>
  </si>
  <si>
    <t>Наименование натурального показателя</t>
  </si>
  <si>
    <t>Встроенный магазин</t>
  </si>
  <si>
    <t>Внеплощадочные инженерные сети и сооружения  к жилому многоквартирному дому:</t>
  </si>
  <si>
    <t>протяженность, км</t>
  </si>
  <si>
    <t xml:space="preserve">протяженность, м.п. </t>
  </si>
  <si>
    <t>Значение натураль-ного показателя</t>
  </si>
  <si>
    <t>Характеристики объекта инжиниринга, усложняющие (упрощающие) факторы</t>
  </si>
  <si>
    <t>Наименование услуги</t>
  </si>
  <si>
    <t>коэффициент многофункциональности</t>
  </si>
  <si>
    <t>на оказание услуг по организации и обеспечению строительства объекта 
в объеме функций заказчика, предусмотренных законодательством</t>
  </si>
  <si>
    <t>УСЛУГИ ПО ИНИЦИАЦИИ ПРОЕКТА</t>
  </si>
  <si>
    <t>обеспечение проработки инвестиционного замысла и выбора оптимального решения</t>
  </si>
  <si>
    <t>разработка и согласование задания на разработку предпроектной документации</t>
  </si>
  <si>
    <t>1.3</t>
  </si>
  <si>
    <t>Дата составления ССР:</t>
  </si>
  <si>
    <t>05.11.2023</t>
  </si>
  <si>
    <t>22.08.2023</t>
  </si>
  <si>
    <t>Установленная стоимость нормо-дня:</t>
  </si>
  <si>
    <t>по состоянию на:</t>
  </si>
  <si>
    <t>01.07.2023</t>
  </si>
  <si>
    <t>х</t>
  </si>
  <si>
    <r>
      <t>I</t>
    </r>
    <r>
      <rPr>
        <b/>
        <vertAlign val="subscript"/>
        <sz val="8"/>
        <color theme="1"/>
        <rFont val="Calibri"/>
        <family val="2"/>
        <charset val="204"/>
        <scheme val="minor"/>
      </rPr>
      <t>ССР</t>
    </r>
  </si>
  <si>
    <r>
      <t>НС</t>
    </r>
    <r>
      <rPr>
        <b/>
        <vertAlign val="subscript"/>
        <sz val="8"/>
        <color theme="1"/>
        <rFont val="Calibri"/>
        <family val="2"/>
        <charset val="204"/>
        <scheme val="minor"/>
      </rPr>
      <t>ССР</t>
    </r>
  </si>
  <si>
    <t xml:space="preserve">1,0067 х 1,0067 х 1,0067 х 1,0067  </t>
  </si>
  <si>
    <r>
      <t>I</t>
    </r>
    <r>
      <rPr>
        <b/>
        <vertAlign val="subscript"/>
        <sz val="8"/>
        <color theme="1"/>
        <rFont val="Calibri"/>
        <family val="2"/>
        <charset val="204"/>
        <scheme val="minor"/>
      </rPr>
      <t>З.ДОГ</t>
    </r>
  </si>
  <si>
    <t>01.09.2023</t>
  </si>
  <si>
    <t xml:space="preserve">1,0067 х 1,0067  </t>
  </si>
  <si>
    <t>Дата заключения договора:</t>
  </si>
  <si>
    <r>
      <t>НС</t>
    </r>
    <r>
      <rPr>
        <b/>
        <vertAlign val="subscript"/>
        <sz val="8"/>
        <color theme="1"/>
        <rFont val="Calibri"/>
        <family val="2"/>
        <charset val="204"/>
        <scheme val="minor"/>
      </rPr>
      <t>З.ДОГ</t>
    </r>
  </si>
  <si>
    <t>Прогнозные индексы стоимости прочих затрат с разбивкой по месяцам, доведенные Минстройархитектуры</t>
  </si>
  <si>
    <t>№ п/п</t>
  </si>
  <si>
    <t>разработка и согласование декларации о намерениях</t>
  </si>
  <si>
    <t>июл 2023</t>
  </si>
  <si>
    <t>авг 2023</t>
  </si>
  <si>
    <t>сен 2023</t>
  </si>
  <si>
    <t>окт 2023</t>
  </si>
  <si>
    <t>ноя 2023</t>
  </si>
  <si>
    <t>дек 2023</t>
  </si>
  <si>
    <t>янв 2024</t>
  </si>
  <si>
    <t>фев 2024</t>
  </si>
  <si>
    <t>мар 2024</t>
  </si>
  <si>
    <t>апр 2024</t>
  </si>
  <si>
    <t>май 2024</t>
  </si>
  <si>
    <t>июн 2024</t>
  </si>
  <si>
    <t>июл 2024</t>
  </si>
  <si>
    <t>авг 2024</t>
  </si>
  <si>
    <t>сен 2024</t>
  </si>
  <si>
    <t>окт 2024</t>
  </si>
  <si>
    <t>ноя 2024</t>
  </si>
  <si>
    <t>дек 2024</t>
  </si>
  <si>
    <t>начало</t>
  </si>
  <si>
    <t>завер- шение</t>
  </si>
  <si>
    <t>группа функций заказчика</t>
  </si>
  <si>
    <r>
      <t>I</t>
    </r>
    <r>
      <rPr>
        <b/>
        <vertAlign val="subscript"/>
        <sz val="8"/>
        <rFont val="Calibri"/>
        <family val="2"/>
        <charset val="204"/>
        <scheme val="minor"/>
      </rPr>
      <t>Н</t>
    </r>
  </si>
  <si>
    <r>
      <t>I</t>
    </r>
    <r>
      <rPr>
        <b/>
        <vertAlign val="subscript"/>
        <sz val="8"/>
        <rFont val="Calibri"/>
        <family val="2"/>
        <charset val="204"/>
        <scheme val="minor"/>
      </rPr>
      <t>У</t>
    </r>
  </si>
  <si>
    <t>УСЛУГИ ПО РАЗРАБОТКЕ ПРЕДПРОЕКТНОЙ ДОКУМЕНТАЦИИ</t>
  </si>
  <si>
    <t>разработка и согласование обоснования инвестиций</t>
  </si>
  <si>
    <t>разработка и согласование плана управления проектом</t>
  </si>
  <si>
    <t>разработка и согласование бизнес-плана инвестиционного проекта</t>
  </si>
  <si>
    <t>разработка и согласование задания на проектирование</t>
  </si>
  <si>
    <t>УСЛУГИ ПО ПОЛУЧЕНИЮ ЗЕМЕЛЬНОГО УЧАСТКА И РАЗРЕШИТЕЛЬНОЙ ДОКУМЕНТАЦИИ</t>
  </si>
  <si>
    <t>янв 2025</t>
  </si>
  <si>
    <t>организация процедуры получения земельного участка</t>
  </si>
  <si>
    <t>организация получения и анализа разрешительной документации</t>
  </si>
  <si>
    <t>обеспечение общего руководства проектированием и планированием строительства</t>
  </si>
  <si>
    <t>УСЛУГИ ПО ОРГАНИЗАЦИИ РАЗРАБОТКИ ДОКУМЕНТАЦИИ ПРОЕКТНОГО ОБЕСПЕЧЕНИЯ СТРОИТЕЛЬНОЙ ДЕЯТЕЛЬНОСТИ</t>
  </si>
  <si>
    <t>УСЛУГИ ПО ОСВОЕНИЮ СТРОИТЕЛЬНОЙ ПЛОЩАДКИ</t>
  </si>
  <si>
    <t>5.4</t>
  </si>
  <si>
    <t>5.5</t>
  </si>
  <si>
    <t>5.6</t>
  </si>
  <si>
    <t>5.7</t>
  </si>
  <si>
    <t>организация сноса и разборки существующих зданий и сооружений</t>
  </si>
  <si>
    <t>организация выноса (переноса) сооружений взамен сносимых</t>
  </si>
  <si>
    <t xml:space="preserve">организация реализации имущественных прав граждан и организаций при изъятии у них земельных участков </t>
  </si>
  <si>
    <t>организация мероприятий по удалению и (или) пересадке объектов растительного мира</t>
  </si>
  <si>
    <t>организация геодезических работ</t>
  </si>
  <si>
    <t>организация работ по инженерному обустройству строительной площадки</t>
  </si>
  <si>
    <t>организация передачи подрядчику обустроенной строительной площадки после её инженерного обустройства</t>
  </si>
  <si>
    <t>УСЛУГИ ПО УПРАВЛЕНИЮ ЗАКУПКАМИ</t>
  </si>
  <si>
    <t>организация выбора разработчика предпроектной документации</t>
  </si>
  <si>
    <t>6.2</t>
  </si>
  <si>
    <t>6.3</t>
  </si>
  <si>
    <t>6.4</t>
  </si>
  <si>
    <t>6.5</t>
  </si>
  <si>
    <t>6.6</t>
  </si>
  <si>
    <t>организация выбора поставщиков технологического оборудования</t>
  </si>
  <si>
    <t>организация выбора генеральной проектной организации (при генподрядной схеме разработки проектной документации)</t>
  </si>
  <si>
    <t>организация выбора генеральной подрядной организации (при генподрядной схеме строительства)</t>
  </si>
  <si>
    <t xml:space="preserve">организация выбора поставщиков строительных материалов, изделий, конструкций, мебели и оборудования в части обязательств заказчика </t>
  </si>
  <si>
    <t>УСЛУГИ ПО ФИНАНСИРОВАНИЮ СТРОИТЕЛЬСТВА, ФИНАНСОВОМУ КОНТРОЛЮ И УЧЕТУ В СТРОИТЕЛЬСТВЕ</t>
  </si>
  <si>
    <t>обеспечение финансирования строительства, осуществление финансового контроля за строительством и учет затрат заказчика (застройщика)</t>
  </si>
  <si>
    <t>УСЛУГИ ПО ОБЩЕМУ РУКОВОДСТВУ ПРИ ВЫПОЛНЕНИИ СТРОИТЕЛЬНЫХ, МОНТАЖНЫХ И ПУСКОНАЛАДОЧНЫХ РАБОТ</t>
  </si>
  <si>
    <t>участие в выполнении строительных, монтажных и пусконаладочных работ в части обязательств заказчика (застройщика) по заключенным договорам строительного подряда - общее руководство строительством</t>
  </si>
  <si>
    <t>УСЛУГИ ПО ТЕХНИЧЕСКОМУ НАДЗОРУ ЗА ВЫПОЛНЕНИЕМ СТРОИТЕЛЬНЫХ РАБОТ</t>
  </si>
  <si>
    <t>осуществление технического надзора за выполнением строительных, монтажных и пусконаладочных работ в объеме, предусмотренном действующим законодательством</t>
  </si>
  <si>
    <t>10</t>
  </si>
  <si>
    <t>организация приемки объекта в эксплуатацию</t>
  </si>
  <si>
    <t>10.1</t>
  </si>
  <si>
    <t>УСЛУГИ ПО ЗАВЕРШЕНИЮ СТРОИТЕЛЬСТВА И ПРИЕМКЕ ОБЪЕКТА В ЭКСПЛУАТАЦИЮ</t>
  </si>
  <si>
    <t>11</t>
  </si>
  <si>
    <t>УСЛУГИ ПО ОРГАНИЗАЦИИ СОЗДАНИЯ ОБЪЕКТОВ ДОЛЕВОГО СТРОИТЕЛЬСТВА С ПРИВЛЕЧЕНИЕМ СРЕДСТВ ДОЛЬЩИКОВ (ПРИ ДОЛЕВОМ СТРОИТЕЛЬСТВЕ)</t>
  </si>
  <si>
    <t>организация создания объектов долевого строительства с привлечением средств дольщиков</t>
  </si>
  <si>
    <t>11.1</t>
  </si>
  <si>
    <t>ИНЫЕ УСЛУГИ</t>
  </si>
  <si>
    <t>12.1</t>
  </si>
  <si>
    <t>иные услуги, обусловленные дополнительными обязанностями заказчика (застройщика) по заключенным договорам и поручениям государственных органов и организаций, не входящие в состав вышеуказанных</t>
  </si>
  <si>
    <r>
      <t>I</t>
    </r>
    <r>
      <rPr>
        <vertAlign val="subscript"/>
        <sz val="8"/>
        <color theme="1"/>
        <rFont val="Calibri"/>
        <family val="2"/>
        <charset val="204"/>
        <scheme val="minor"/>
      </rPr>
      <t>Н</t>
    </r>
  </si>
  <si>
    <r>
      <t>I</t>
    </r>
    <r>
      <rPr>
        <vertAlign val="subscript"/>
        <sz val="8"/>
        <color theme="1"/>
        <rFont val="Calibri"/>
        <family val="2"/>
        <charset val="204"/>
        <scheme val="minor"/>
      </rPr>
      <t>У</t>
    </r>
  </si>
  <si>
    <t/>
  </si>
  <si>
    <t xml:space="preserve">Приложение 2 МУ, табл. 2.1, поз. И020101а </t>
  </si>
  <si>
    <r>
      <t>Ц</t>
    </r>
    <r>
      <rPr>
        <vertAlign val="subscript"/>
        <sz val="8"/>
        <rFont val="Calibri"/>
        <family val="2"/>
        <charset val="204"/>
        <scheme val="minor"/>
      </rPr>
      <t>ПР</t>
    </r>
  </si>
  <si>
    <t>ч-дн.</t>
  </si>
  <si>
    <t xml:space="preserve"> </t>
  </si>
  <si>
    <t>Индивидуальные НЗТ</t>
  </si>
  <si>
    <t>(расчет [И1])</t>
  </si>
  <si>
    <r>
      <t>Ц</t>
    </r>
    <r>
      <rPr>
        <b/>
        <vertAlign val="subscript"/>
        <sz val="8"/>
        <rFont val="Calibri"/>
        <family val="2"/>
        <charset val="204"/>
        <scheme val="minor"/>
      </rPr>
      <t>ПР</t>
    </r>
  </si>
  <si>
    <t xml:space="preserve">Приложение 2 МУ, табл. 2.2, поз. И020201а </t>
  </si>
  <si>
    <t>Приложение 2 МУ, табл. 2.3, поз. И020301</t>
  </si>
  <si>
    <r>
      <t>Х</t>
    </r>
    <r>
      <rPr>
        <vertAlign val="subscript"/>
        <sz val="8"/>
        <color theme="1"/>
        <rFont val="Calibri"/>
        <family val="2"/>
        <charset val="204"/>
        <scheme val="minor"/>
      </rPr>
      <t>ОБ</t>
    </r>
  </si>
  <si>
    <t>ИНТЕРПОЛЯЦИЯ</t>
  </si>
  <si>
    <t>Приложение 2 МУ, табл. 2.3, поз. И020301 (20%)</t>
  </si>
  <si>
    <r>
      <t>УВ</t>
    </r>
    <r>
      <rPr>
        <vertAlign val="subscript"/>
        <sz val="8"/>
        <color theme="1"/>
        <rFont val="Calibri"/>
        <family val="2"/>
        <charset val="204"/>
        <scheme val="minor"/>
      </rPr>
      <t>НЗТ</t>
    </r>
  </si>
  <si>
    <t>Приложение 2 МУ, табл. 2.3, поз. И020301 (65%)</t>
  </si>
  <si>
    <t>Приложение 2 МУ, табл. 2.3, поз. И020301 (19%)</t>
  </si>
  <si>
    <t>ИНТЕРПОЛЯЦИЯ + %</t>
  </si>
  <si>
    <t xml:space="preserve">Приложение 3 МУ, табл. 3.5, поз. И030503а </t>
  </si>
  <si>
    <t>(здание третьего класса сложности К-3)</t>
  </si>
  <si>
    <r>
      <t xml:space="preserve">60-квартирный жилой дом со встроенным магазином </t>
    </r>
    <r>
      <rPr>
        <i/>
        <sz val="8"/>
        <color theme="1"/>
        <rFont val="Calibri"/>
        <family val="2"/>
        <charset val="204"/>
        <scheme val="minor"/>
      </rPr>
      <t>(жилой дом)</t>
    </r>
  </si>
  <si>
    <t xml:space="preserve">Приложение 3 МУ, табл. 3.6, поз. И030503а </t>
  </si>
  <si>
    <t>СНЗТ И1-2023, табл. 3.1, поз. И130101</t>
  </si>
  <si>
    <r>
      <t>К</t>
    </r>
    <r>
      <rPr>
        <vertAlign val="subscript"/>
        <sz val="8"/>
        <color theme="1"/>
        <rFont val="Calibri"/>
        <family val="2"/>
        <charset val="204"/>
        <scheme val="minor"/>
      </rPr>
      <t>И1.301</t>
    </r>
  </si>
  <si>
    <r>
      <t>К</t>
    </r>
    <r>
      <rPr>
        <vertAlign val="subscript"/>
        <sz val="8"/>
        <color theme="1"/>
        <rFont val="Calibri"/>
        <family val="2"/>
        <charset val="204"/>
        <scheme val="minor"/>
      </rPr>
      <t>И1.304</t>
    </r>
  </si>
  <si>
    <r>
      <t>Х</t>
    </r>
    <r>
      <rPr>
        <vertAlign val="subscript"/>
        <sz val="8"/>
        <color theme="1"/>
        <rFont val="Calibri"/>
        <family val="2"/>
        <charset val="204"/>
        <scheme val="minor"/>
      </rPr>
      <t>УФ</t>
    </r>
  </si>
  <si>
    <t>к-т многофункциональности</t>
  </si>
  <si>
    <t>Итого по группе 1:</t>
  </si>
  <si>
    <t>Итого по группе 2:</t>
  </si>
  <si>
    <t>Итого по группе 3:</t>
  </si>
  <si>
    <r>
      <t>К</t>
    </r>
    <r>
      <rPr>
        <vertAlign val="subscript"/>
        <sz val="8"/>
        <color theme="1"/>
        <rFont val="Calibri"/>
        <family val="2"/>
        <charset val="204"/>
        <scheme val="minor"/>
      </rPr>
      <t>Ф</t>
    </r>
  </si>
  <si>
    <r>
      <t>НЗТ</t>
    </r>
    <r>
      <rPr>
        <vertAlign val="subscript"/>
        <sz val="8"/>
        <rFont val="Calibri"/>
        <family val="2"/>
        <charset val="204"/>
        <scheme val="minor"/>
      </rPr>
      <t>УФ</t>
    </r>
  </si>
  <si>
    <t>Итого по группе 4:</t>
  </si>
  <si>
    <t xml:space="preserve">Приложение 1 МУ, табл. 1.1 </t>
  </si>
  <si>
    <t>стоимость сноса, тыс.руб.</t>
  </si>
  <si>
    <t>экстраполяция вниз</t>
  </si>
  <si>
    <t>Удаление и пересадка объектов растительного  мира</t>
  </si>
  <si>
    <t>площадь участка, га</t>
  </si>
  <si>
    <t>Приложение 2 МУ, табл. 2.5, поз. И020501</t>
  </si>
  <si>
    <t>отсутствие вредного возд. на  животный мир</t>
  </si>
  <si>
    <r>
      <t>К</t>
    </r>
    <r>
      <rPr>
        <vertAlign val="subscript"/>
        <sz val="8"/>
        <color theme="1"/>
        <rFont val="Calibri"/>
        <family val="2"/>
        <charset val="204"/>
        <scheme val="minor"/>
      </rPr>
      <t>И0.201</t>
    </r>
  </si>
  <si>
    <t>плотность растений 150-300 на 1 га</t>
  </si>
  <si>
    <t>плотность растений 
150-300 единиц на площади 0,6  Га</t>
  </si>
  <si>
    <t>Приложение 2 МУ, табл. 2.6, поз. И020601</t>
  </si>
  <si>
    <t>объект жилищно-гражданского назначения</t>
  </si>
  <si>
    <t>любой объект строительства</t>
  </si>
  <si>
    <t>Приложение 2 МУ, табл. 2.7, поз. И020701</t>
  </si>
  <si>
    <t>Приложение 2 МУ, табл. 2.8, поз. И020801</t>
  </si>
  <si>
    <t>Итого по группе 5:</t>
  </si>
  <si>
    <t>предельная стоимость строительства
 от 1 000 до 10 000 тыс. руб.</t>
  </si>
  <si>
    <t xml:space="preserve">Приложение 3 МУ, табл. 3.1, поз. И030102а </t>
  </si>
  <si>
    <t xml:space="preserve">Приложение 3 МУ, табл. 3.3, поз. И030301а </t>
  </si>
  <si>
    <t>ориентировочная стоимость закупки 
до 1 000 тыс. руб.</t>
  </si>
  <si>
    <t>оригинальные технич. характеристики</t>
  </si>
  <si>
    <t>тыс.руб.</t>
  </si>
  <si>
    <t>количество процедур закупок:</t>
  </si>
  <si>
    <t xml:space="preserve">Приложение 3 МУ, табл. 3.2, поз. И030102а </t>
  </si>
  <si>
    <t xml:space="preserve">Приложение 3 МУ, табл. 3.4, поз. И030401а </t>
  </si>
  <si>
    <t>ориентировочная стоимость закупки 
от 100 до 1000 тыс. руб.</t>
  </si>
  <si>
    <t>организация процедуры переговоров</t>
  </si>
  <si>
    <t>Итого по группе 6:</t>
  </si>
  <si>
    <t>Итого по группе 7:</t>
  </si>
  <si>
    <t>Итого по группе 8:</t>
  </si>
  <si>
    <t>Итого по группе 9:</t>
  </si>
  <si>
    <t>Итого по группе 10:</t>
  </si>
  <si>
    <t>организация выбора подрядных организаций на выполнение отдельных видов работ, услуг (при подрядной схеме строительства)</t>
  </si>
  <si>
    <r>
      <t>м</t>
    </r>
    <r>
      <rPr>
        <vertAlign val="superscript"/>
        <sz val="8"/>
        <rFont val="Calibri"/>
        <family val="2"/>
        <charset val="204"/>
        <scheme val="minor"/>
      </rPr>
      <t>2</t>
    </r>
    <r>
      <rPr>
        <sz val="8"/>
        <rFont val="Calibri"/>
        <family val="2"/>
        <charset val="204"/>
        <scheme val="minor"/>
      </rPr>
      <t xml:space="preserve"> чистой площади</t>
    </r>
  </si>
  <si>
    <t>хозяйственно-бытовая канализация диаметром 160 мм</t>
  </si>
  <si>
    <t>СНЗТ И2-2023, табл. 2.2, поз. И220201</t>
  </si>
  <si>
    <t>искусственное основание</t>
  </si>
  <si>
    <t>участки с уклоном поверхности свыше 30%</t>
  </si>
  <si>
    <r>
      <t>К</t>
    </r>
    <r>
      <rPr>
        <vertAlign val="subscript"/>
        <sz val="8"/>
        <color theme="1"/>
        <rFont val="Calibri"/>
        <family val="2"/>
        <charset val="204"/>
        <scheme val="minor"/>
      </rPr>
      <t>И2.103</t>
    </r>
  </si>
  <si>
    <t>исскуственное 
основание -100м; 
уклон более 30%  - 60м</t>
  </si>
  <si>
    <t>местный проезд</t>
  </si>
  <si>
    <t xml:space="preserve">Местный проезд </t>
  </si>
  <si>
    <t>СНЗТ И2-2023, табл. 2.1, поз. И220102</t>
  </si>
  <si>
    <t>метров</t>
  </si>
  <si>
    <t>километров</t>
  </si>
  <si>
    <t>кв. метров</t>
  </si>
  <si>
    <t>снос выносимой сети водопровода</t>
  </si>
  <si>
    <t>(расчет [И2])</t>
  </si>
  <si>
    <t>СНЗТ И4-2023, табл. 2.1, поз. И420112</t>
  </si>
  <si>
    <t>Вынос сети водопровода диаметром 250 мм</t>
  </si>
  <si>
    <t>Расчет индивидуальных НЗТ</t>
  </si>
  <si>
    <t>И1</t>
  </si>
  <si>
    <t>И2</t>
  </si>
  <si>
    <t>п.31.1 гл. 10 ССР</t>
  </si>
  <si>
    <t>гл. 1 ССР</t>
  </si>
  <si>
    <t>затраты, не предусматриваемые в ССР</t>
  </si>
  <si>
    <t>затраты, связанные с получением исходных данных, гл.1 ССР</t>
  </si>
  <si>
    <t>затраты, отражаемые в п. 31.3  гл.10 ССР</t>
  </si>
  <si>
    <t>затраты, учтенные в стоимости технологического оборудования в гл. 2-7 ССР</t>
  </si>
  <si>
    <t>затраты, учтенные в стоимости работ, услуг по гл. 1-10 ССР</t>
  </si>
  <si>
    <t>затраты, учтенные в стоимости матералов, изделий, конструкц. по гл. 2-7 ССР</t>
  </si>
  <si>
    <t>80% от стоимость по группам 3-5, 7-9</t>
  </si>
  <si>
    <t>ИТОГО ПО КАЛЬКУЛЯЦИИ (СМЕТЕ)</t>
  </si>
  <si>
    <t>Итого по группе 11:</t>
  </si>
  <si>
    <t>с тоимость по группам 3-5, 7-9</t>
  </si>
  <si>
    <r>
      <t>N</t>
    </r>
    <r>
      <rPr>
        <vertAlign val="superscript"/>
        <sz val="8"/>
        <rFont val="Calibri"/>
        <family val="2"/>
        <charset val="204"/>
        <scheme val="minor"/>
      </rPr>
      <t>11</t>
    </r>
  </si>
  <si>
    <t>КАЛЬКУЛЯЦИЯ (СМЕТА) №</t>
  </si>
  <si>
    <r>
      <t>Снос одноэтажного  жилого дома 105 м</t>
    </r>
    <r>
      <rPr>
        <vertAlign val="superscript"/>
        <sz val="8"/>
        <rFont val="Calibri"/>
        <family val="2"/>
        <charset val="204"/>
        <scheme val="minor"/>
      </rPr>
      <t xml:space="preserve">2 </t>
    </r>
    <r>
      <rPr>
        <sz val="8"/>
        <rFont val="Calibri"/>
        <family val="2"/>
        <charset val="204"/>
        <scheme val="minor"/>
      </rPr>
      <t>чистой площади</t>
    </r>
  </si>
  <si>
    <t>не пред. в ССР</t>
  </si>
  <si>
    <t>возведение водопровода диаметром 250 мм взамен выносимого</t>
  </si>
  <si>
    <t xml:space="preserve">учт. в ст-ти предпр. </t>
  </si>
  <si>
    <t xml:space="preserve">учт. в ст-ти оборуд. </t>
  </si>
  <si>
    <t>учт. в ст-ти соотв. работ, услуг</t>
  </si>
  <si>
    <t>учт. в ст-ти мат.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</si>
</sst>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.0"/>
    <numFmt numFmtId="166" formatCode="0.0%"/>
    <numFmt numFmtId="167" formatCode="0.0000"/>
    <numFmt numFmtId="168" formatCode="#,##0.0"/>
  </numFmts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vertAlign val="subscript"/>
      <sz val="8"/>
      <color theme="1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i/>
      <sz val="6"/>
      <color theme="0" tint="-0.499984740745262"/>
      <name val="Calibri"/>
      <family val="2"/>
      <charset val="204"/>
      <scheme val="minor"/>
    </font>
    <font>
      <i/>
      <sz val="8"/>
      <color theme="4" tint="-0.499984740745262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vertAlign val="subscript"/>
      <sz val="8"/>
      <name val="Calibri"/>
      <family val="2"/>
      <charset val="204"/>
      <scheme val="minor"/>
    </font>
    <font>
      <b/>
      <vertAlign val="subscript"/>
      <sz val="8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8"/>
      <color rgb="FF000000"/>
      <name val="Calibri"/>
      <family val="2"/>
      <charset val="204"/>
      <scheme val="minor"/>
    </font>
    <font>
      <b/>
      <vertAlign val="subscript"/>
      <sz val="8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8"/>
      <color theme="3"/>
      <name val="Calibri"/>
      <family val="2"/>
      <charset val="204"/>
      <scheme val="minor"/>
    </font>
    <font>
      <vertAlign val="superscript"/>
      <sz val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3" fillId="0" borderId="1"/>
    <xf numFmtId="164" fontId="3" fillId="0" borderId="1" applyFont="0" applyFill="0" applyBorder="0" applyAlignment="0" applyProtection="0"/>
    <xf numFmtId="0" fontId="2" fillId="0" borderId="1"/>
  </cellStyleXfs>
  <cellXfs count="479">
    <xf numFmtId="0" fontId="0" fillId="0" borderId="0" xfId="0"/>
    <xf numFmtId="49" fontId="7" fillId="0" borderId="1" xfId="3" applyNumberFormat="1" applyFont="1" applyBorder="1"/>
    <xf numFmtId="49" fontId="6" fillId="0" borderId="1" xfId="3" applyNumberFormat="1" applyFont="1" applyBorder="1"/>
    <xf numFmtId="0" fontId="7" fillId="0" borderId="1" xfId="3" applyFont="1" applyBorder="1"/>
    <xf numFmtId="49" fontId="9" fillId="0" borderId="1" xfId="3" applyNumberFormat="1" applyFont="1" applyBorder="1"/>
    <xf numFmtId="0" fontId="9" fillId="0" borderId="1" xfId="3" applyFont="1" applyBorder="1"/>
    <xf numFmtId="49" fontId="6" fillId="0" borderId="1" xfId="3" applyNumberFormat="1" applyFont="1" applyBorder="1" applyAlignment="1"/>
    <xf numFmtId="49" fontId="7" fillId="0" borderId="1" xfId="3" quotePrefix="1" applyNumberFormat="1" applyFont="1" applyBorder="1"/>
    <xf numFmtId="0" fontId="7" fillId="0" borderId="1" xfId="3" applyFont="1" applyBorder="1" applyAlignment="1">
      <alignment horizontal="left"/>
    </xf>
    <xf numFmtId="0" fontId="0" fillId="0" borderId="0" xfId="0" applyAlignment="1">
      <alignment wrapText="1"/>
    </xf>
    <xf numFmtId="1" fontId="0" fillId="0" borderId="0" xfId="0" applyNumberFormat="1" applyAlignment="1">
      <alignment vertical="center"/>
    </xf>
    <xf numFmtId="0" fontId="7" fillId="0" borderId="1" xfId="3" applyNumberFormat="1" applyFont="1" applyBorder="1"/>
    <xf numFmtId="49" fontId="7" fillId="0" borderId="1" xfId="3" applyNumberFormat="1" applyFont="1" applyFill="1" applyBorder="1" applyAlignment="1">
      <alignment horizontal="right" vertical="center"/>
    </xf>
    <xf numFmtId="49" fontId="5" fillId="0" borderId="1" xfId="3" applyNumberFormat="1" applyFont="1" applyBorder="1"/>
    <xf numFmtId="0" fontId="5" fillId="0" borderId="1" xfId="3" applyFont="1" applyBorder="1"/>
    <xf numFmtId="49" fontId="7" fillId="0" borderId="29" xfId="3" applyNumberFormat="1" applyFont="1" applyBorder="1" applyAlignment="1"/>
    <xf numFmtId="49" fontId="7" fillId="0" borderId="30" xfId="3" applyNumberFormat="1" applyFont="1" applyBorder="1" applyAlignment="1"/>
    <xf numFmtId="49" fontId="7" fillId="0" borderId="30" xfId="3" applyNumberFormat="1" applyFont="1" applyBorder="1"/>
    <xf numFmtId="49" fontId="7" fillId="0" borderId="20" xfId="3" applyNumberFormat="1" applyFont="1" applyBorder="1"/>
    <xf numFmtId="49" fontId="7" fillId="0" borderId="1" xfId="3" applyNumberFormat="1" applyFont="1" applyBorder="1" applyAlignment="1"/>
    <xf numFmtId="0" fontId="0" fillId="2" borderId="0" xfId="0" applyFill="1"/>
    <xf numFmtId="2" fontId="7" fillId="0" borderId="45" xfId="3" applyNumberFormat="1" applyFont="1" applyFill="1" applyBorder="1" applyAlignment="1">
      <alignment horizontal="center" vertical="center"/>
    </xf>
    <xf numFmtId="49" fontId="7" fillId="0" borderId="40" xfId="3" applyNumberFormat="1" applyFont="1" applyBorder="1" applyAlignment="1">
      <alignment horizontal="right" vertical="center"/>
    </xf>
    <xf numFmtId="14" fontId="14" fillId="3" borderId="1" xfId="3" applyNumberFormat="1" applyFont="1" applyFill="1" applyBorder="1" applyAlignment="1">
      <alignment horizontal="center" vertical="center"/>
    </xf>
    <xf numFmtId="0" fontId="14" fillId="0" borderId="1" xfId="3" applyFont="1" applyBorder="1" applyAlignment="1">
      <alignment horizontal="left"/>
    </xf>
    <xf numFmtId="0" fontId="7" fillId="0" borderId="1" xfId="3" applyFont="1" applyBorder="1" applyAlignment="1"/>
    <xf numFmtId="2" fontId="7" fillId="0" borderId="1" xfId="3" applyNumberFormat="1" applyFont="1" applyBorder="1" applyAlignment="1">
      <alignment horizontal="center"/>
    </xf>
    <xf numFmtId="2" fontId="7" fillId="0" borderId="1" xfId="3" applyNumberFormat="1" applyFont="1" applyFill="1" applyBorder="1" applyAlignment="1">
      <alignment horizontal="left" vertical="center"/>
    </xf>
    <xf numFmtId="0" fontId="5" fillId="0" borderId="36" xfId="3" applyFont="1" applyBorder="1" applyAlignment="1">
      <alignment horizontal="center" vertical="center"/>
    </xf>
    <xf numFmtId="49" fontId="7" fillId="0" borderId="45" xfId="3" applyNumberFormat="1" applyFont="1" applyBorder="1" applyAlignment="1">
      <alignment horizontal="right" vertical="center"/>
    </xf>
    <xf numFmtId="49" fontId="7" fillId="0" borderId="45" xfId="3" applyNumberFormat="1" applyFont="1" applyFill="1" applyBorder="1" applyAlignment="1">
      <alignment horizontal="center" vertical="center"/>
    </xf>
    <xf numFmtId="49" fontId="6" fillId="0" borderId="1" xfId="3" applyNumberFormat="1" applyFont="1" applyBorder="1" applyAlignment="1">
      <alignment horizontal="right"/>
    </xf>
    <xf numFmtId="49" fontId="7" fillId="0" borderId="1" xfId="3" applyNumberFormat="1" applyFont="1" applyBorder="1" applyAlignment="1">
      <alignment horizontal="left"/>
    </xf>
    <xf numFmtId="49" fontId="7" fillId="0" borderId="1" xfId="3" applyNumberFormat="1" applyFont="1" applyBorder="1" applyAlignment="1">
      <alignment horizontal="right" vertical="center"/>
    </xf>
    <xf numFmtId="49" fontId="7" fillId="0" borderId="1" xfId="3" applyNumberFormat="1" applyFont="1" applyFill="1" applyBorder="1" applyAlignment="1">
      <alignment horizontal="center" vertical="center"/>
    </xf>
    <xf numFmtId="0" fontId="14" fillId="0" borderId="45" xfId="3" applyFont="1" applyBorder="1" applyAlignment="1">
      <alignment horizontal="left"/>
    </xf>
    <xf numFmtId="49" fontId="13" fillId="0" borderId="1" xfId="3" applyNumberFormat="1" applyFont="1" applyBorder="1" applyAlignment="1">
      <alignment horizontal="right"/>
    </xf>
    <xf numFmtId="49" fontId="13" fillId="0" borderId="1" xfId="3" applyNumberFormat="1" applyFont="1" applyBorder="1" applyAlignment="1"/>
    <xf numFmtId="49" fontId="5" fillId="0" borderId="1" xfId="3" applyNumberFormat="1" applyFont="1" applyBorder="1" applyAlignment="1">
      <alignment horizontal="left"/>
    </xf>
    <xf numFmtId="2" fontId="5" fillId="0" borderId="45" xfId="3" applyNumberFormat="1" applyFont="1" applyFill="1" applyBorder="1" applyAlignment="1">
      <alignment horizontal="left" vertical="center"/>
    </xf>
    <xf numFmtId="2" fontId="5" fillId="0" borderId="47" xfId="3" applyNumberFormat="1" applyFont="1" applyFill="1" applyBorder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5" fillId="0" borderId="4" xfId="3" applyFont="1" applyBorder="1" applyAlignment="1">
      <alignment horizontal="left" vertical="center"/>
    </xf>
    <xf numFmtId="49" fontId="6" fillId="0" borderId="1" xfId="3" applyNumberFormat="1" applyFont="1" applyBorder="1" applyAlignment="1">
      <alignment horizontal="right"/>
    </xf>
    <xf numFmtId="49" fontId="7" fillId="0" borderId="1" xfId="3" applyNumberFormat="1" applyFont="1" applyBorder="1" applyAlignment="1">
      <alignment horizontal="left"/>
    </xf>
    <xf numFmtId="49" fontId="7" fillId="0" borderId="1" xfId="3" applyNumberFormat="1" applyFont="1" applyBorder="1" applyAlignment="1">
      <alignment horizontal="center"/>
    </xf>
    <xf numFmtId="49" fontId="7" fillId="0" borderId="1" xfId="3" quotePrefix="1" applyNumberFormat="1" applyFont="1" applyBorder="1" applyAlignment="1">
      <alignment horizontal="center" vertical="center" wrapText="1"/>
    </xf>
    <xf numFmtId="49" fontId="11" fillId="0" borderId="1" xfId="3" applyNumberFormat="1" applyFont="1" applyBorder="1" applyAlignment="1">
      <alignment vertical="center"/>
    </xf>
    <xf numFmtId="0" fontId="14" fillId="0" borderId="1" xfId="3" applyFont="1" applyBorder="1" applyAlignment="1"/>
    <xf numFmtId="0" fontId="0" fillId="4" borderId="0" xfId="0" applyFill="1"/>
    <xf numFmtId="1" fontId="5" fillId="4" borderId="5" xfId="0" applyNumberFormat="1" applyFont="1" applyFill="1" applyBorder="1" applyAlignment="1">
      <alignment vertical="center"/>
    </xf>
    <xf numFmtId="1" fontId="5" fillId="0" borderId="14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wrapText="1"/>
    </xf>
    <xf numFmtId="0" fontId="13" fillId="5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49" fontId="6" fillId="5" borderId="8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13" fillId="5" borderId="8" xfId="0" applyNumberFormat="1" applyFont="1" applyFill="1" applyBorder="1" applyAlignment="1">
      <alignment horizontal="center" vertical="center" wrapText="1"/>
    </xf>
    <xf numFmtId="0" fontId="7" fillId="3" borderId="15" xfId="3" applyNumberFormat="1" applyFont="1" applyFill="1" applyBorder="1" applyAlignment="1">
      <alignment horizontal="center" vertical="center"/>
    </xf>
    <xf numFmtId="0" fontId="7" fillId="3" borderId="15" xfId="3" applyNumberFormat="1" applyFont="1" applyFill="1" applyBorder="1" applyAlignment="1">
      <alignment horizontal="center" vertical="center" wrapText="1"/>
    </xf>
    <xf numFmtId="2" fontId="7" fillId="3" borderId="15" xfId="3" applyNumberFormat="1" applyFont="1" applyFill="1" applyBorder="1" applyAlignment="1">
      <alignment vertical="center"/>
    </xf>
    <xf numFmtId="167" fontId="7" fillId="7" borderId="15" xfId="3" applyNumberFormat="1" applyFont="1" applyFill="1" applyBorder="1" applyAlignment="1">
      <alignment vertical="center"/>
    </xf>
    <xf numFmtId="167" fontId="7" fillId="4" borderId="15" xfId="3" applyNumberFormat="1" applyFont="1" applyFill="1" applyBorder="1" applyAlignment="1">
      <alignment vertical="center"/>
    </xf>
    <xf numFmtId="167" fontId="7" fillId="5" borderId="15" xfId="3" applyNumberFormat="1" applyFont="1" applyFill="1" applyBorder="1" applyAlignment="1">
      <alignment vertical="center"/>
    </xf>
    <xf numFmtId="1" fontId="5" fillId="0" borderId="52" xfId="0" applyNumberFormat="1" applyFont="1" applyBorder="1" applyAlignment="1">
      <alignment horizontal="right" vertical="center"/>
    </xf>
    <xf numFmtId="2" fontId="5" fillId="0" borderId="38" xfId="0" applyNumberFormat="1" applyFont="1" applyBorder="1" applyAlignment="1">
      <alignment wrapText="1"/>
    </xf>
    <xf numFmtId="0" fontId="7" fillId="3" borderId="38" xfId="3" applyNumberFormat="1" applyFont="1" applyFill="1" applyBorder="1" applyAlignment="1">
      <alignment horizontal="center" vertical="center"/>
    </xf>
    <xf numFmtId="167" fontId="7" fillId="5" borderId="38" xfId="3" applyNumberFormat="1" applyFont="1" applyFill="1" applyBorder="1" applyAlignment="1">
      <alignment vertical="center"/>
    </xf>
    <xf numFmtId="167" fontId="7" fillId="7" borderId="38" xfId="3" applyNumberFormat="1" applyFont="1" applyFill="1" applyBorder="1" applyAlignment="1">
      <alignment vertical="center"/>
    </xf>
    <xf numFmtId="2" fontId="7" fillId="3" borderId="38" xfId="3" applyNumberFormat="1" applyFont="1" applyFill="1" applyBorder="1" applyAlignment="1">
      <alignment vertical="center"/>
    </xf>
    <xf numFmtId="1" fontId="5" fillId="0" borderId="51" xfId="0" applyNumberFormat="1" applyFont="1" applyBorder="1" applyAlignment="1">
      <alignment horizontal="right" vertical="center"/>
    </xf>
    <xf numFmtId="2" fontId="5" fillId="0" borderId="50" xfId="0" applyNumberFormat="1" applyFont="1" applyBorder="1" applyAlignment="1">
      <alignment wrapText="1"/>
    </xf>
    <xf numFmtId="0" fontId="7" fillId="3" borderId="50" xfId="3" applyNumberFormat="1" applyFont="1" applyFill="1" applyBorder="1" applyAlignment="1">
      <alignment horizontal="center" vertical="center" wrapText="1"/>
    </xf>
    <xf numFmtId="167" fontId="7" fillId="5" borderId="50" xfId="3" applyNumberFormat="1" applyFont="1" applyFill="1" applyBorder="1" applyAlignment="1">
      <alignment vertical="center"/>
    </xf>
    <xf numFmtId="167" fontId="7" fillId="7" borderId="50" xfId="3" applyNumberFormat="1" applyFont="1" applyFill="1" applyBorder="1" applyAlignment="1">
      <alignment vertical="center"/>
    </xf>
    <xf numFmtId="2" fontId="7" fillId="3" borderId="50" xfId="3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22" xfId="0" applyFont="1" applyFill="1" applyBorder="1"/>
    <xf numFmtId="49" fontId="13" fillId="2" borderId="2" xfId="0" applyNumberFormat="1" applyFont="1" applyFill="1" applyBorder="1" applyAlignment="1">
      <alignment horizontal="right" vertical="center" wrapText="1"/>
    </xf>
    <xf numFmtId="2" fontId="13" fillId="2" borderId="3" xfId="0" applyNumberFormat="1" applyFont="1" applyFill="1" applyBorder="1" applyAlignment="1">
      <alignment vertical="center" wrapText="1"/>
    </xf>
    <xf numFmtId="14" fontId="18" fillId="6" borderId="3" xfId="0" applyNumberFormat="1" applyFont="1" applyFill="1" applyBorder="1" applyAlignment="1">
      <alignment horizontal="center" vertical="center" wrapText="1"/>
    </xf>
    <xf numFmtId="1" fontId="18" fillId="6" borderId="3" xfId="0" applyNumberFormat="1" applyFont="1" applyFill="1" applyBorder="1" applyAlignment="1">
      <alignment vertical="center" wrapText="1"/>
    </xf>
    <xf numFmtId="49" fontId="18" fillId="6" borderId="3" xfId="0" applyNumberFormat="1" applyFont="1" applyFill="1" applyBorder="1" applyAlignment="1">
      <alignment vertical="center" wrapText="1"/>
    </xf>
    <xf numFmtId="49" fontId="18" fillId="6" borderId="22" xfId="0" applyNumberFormat="1" applyFont="1" applyFill="1" applyBorder="1" applyAlignment="1">
      <alignment vertical="center" wrapText="1"/>
    </xf>
    <xf numFmtId="2" fontId="7" fillId="3" borderId="16" xfId="3" applyNumberFormat="1" applyFont="1" applyFill="1" applyBorder="1" applyAlignment="1">
      <alignment vertical="center"/>
    </xf>
    <xf numFmtId="2" fontId="7" fillId="3" borderId="39" xfId="3" applyNumberFormat="1" applyFont="1" applyFill="1" applyBorder="1" applyAlignment="1">
      <alignment vertical="center"/>
    </xf>
    <xf numFmtId="0" fontId="0" fillId="0" borderId="1" xfId="0" applyBorder="1"/>
    <xf numFmtId="2" fontId="13" fillId="2" borderId="3" xfId="0" applyNumberFormat="1" applyFont="1" applyFill="1" applyBorder="1" applyAlignment="1">
      <alignment vertical="center"/>
    </xf>
    <xf numFmtId="49" fontId="7" fillId="3" borderId="50" xfId="3" applyNumberFormat="1" applyFont="1" applyFill="1" applyBorder="1" applyAlignment="1">
      <alignment horizontal="center" vertical="center" wrapText="1"/>
    </xf>
    <xf numFmtId="0" fontId="7" fillId="3" borderId="50" xfId="3" applyNumberFormat="1" applyFont="1" applyFill="1" applyBorder="1" applyAlignment="1">
      <alignment horizontal="center" vertical="center"/>
    </xf>
    <xf numFmtId="167" fontId="7" fillId="4" borderId="50" xfId="3" applyNumberFormat="1" applyFont="1" applyFill="1" applyBorder="1" applyAlignment="1">
      <alignment vertical="center"/>
    </xf>
    <xf numFmtId="167" fontId="7" fillId="4" borderId="38" xfId="3" applyNumberFormat="1" applyFont="1" applyFill="1" applyBorder="1" applyAlignment="1">
      <alignment vertical="center"/>
    </xf>
    <xf numFmtId="167" fontId="7" fillId="9" borderId="50" xfId="3" applyNumberFormat="1" applyFont="1" applyFill="1" applyBorder="1" applyAlignment="1">
      <alignment vertical="center"/>
    </xf>
    <xf numFmtId="167" fontId="7" fillId="9" borderId="15" xfId="3" applyNumberFormat="1" applyFont="1" applyFill="1" applyBorder="1" applyAlignment="1">
      <alignment vertical="center"/>
    </xf>
    <xf numFmtId="167" fontId="7" fillId="9" borderId="38" xfId="3" applyNumberFormat="1" applyFont="1" applyFill="1" applyBorder="1" applyAlignment="1">
      <alignment vertical="center"/>
    </xf>
    <xf numFmtId="49" fontId="7" fillId="3" borderId="38" xfId="3" applyNumberFormat="1" applyFont="1" applyFill="1" applyBorder="1" applyAlignment="1">
      <alignment horizontal="center" vertical="center" wrapText="1"/>
    </xf>
    <xf numFmtId="2" fontId="7" fillId="3" borderId="12" xfId="3" applyNumberFormat="1" applyFont="1" applyFill="1" applyBorder="1" applyAlignment="1">
      <alignment vertical="center"/>
    </xf>
    <xf numFmtId="2" fontId="7" fillId="3" borderId="35" xfId="3" applyNumberFormat="1" applyFont="1" applyFill="1" applyBorder="1" applyAlignment="1">
      <alignment vertical="center"/>
    </xf>
    <xf numFmtId="49" fontId="6" fillId="4" borderId="12" xfId="3" applyNumberFormat="1" applyFont="1" applyFill="1" applyBorder="1" applyAlignment="1">
      <alignment horizontal="center" vertical="center"/>
    </xf>
    <xf numFmtId="2" fontId="7" fillId="3" borderId="13" xfId="3" applyNumberFormat="1" applyFont="1" applyFill="1" applyBorder="1" applyAlignment="1">
      <alignment vertical="center"/>
    </xf>
    <xf numFmtId="2" fontId="7" fillId="3" borderId="18" xfId="3" applyNumberFormat="1" applyFont="1" applyFill="1" applyBorder="1" applyAlignment="1">
      <alignment vertical="center"/>
    </xf>
    <xf numFmtId="2" fontId="5" fillId="0" borderId="35" xfId="0" applyNumberFormat="1" applyFont="1" applyBorder="1" applyAlignment="1">
      <alignment wrapText="1"/>
    </xf>
    <xf numFmtId="167" fontId="7" fillId="4" borderId="35" xfId="3" applyNumberFormat="1" applyFont="1" applyFill="1" applyBorder="1" applyAlignment="1">
      <alignment vertical="center"/>
    </xf>
    <xf numFmtId="167" fontId="7" fillId="9" borderId="35" xfId="3" applyNumberFormat="1" applyFont="1" applyFill="1" applyBorder="1" applyAlignment="1">
      <alignment vertical="center"/>
    </xf>
    <xf numFmtId="167" fontId="7" fillId="5" borderId="35" xfId="3" applyNumberFormat="1" applyFont="1" applyFill="1" applyBorder="1" applyAlignment="1">
      <alignment vertical="center"/>
    </xf>
    <xf numFmtId="167" fontId="7" fillId="7" borderId="35" xfId="3" applyNumberFormat="1" applyFont="1" applyFill="1" applyBorder="1" applyAlignment="1">
      <alignment vertical="center"/>
    </xf>
    <xf numFmtId="2" fontId="5" fillId="0" borderId="38" xfId="0" applyNumberFormat="1" applyFont="1" applyBorder="1" applyAlignment="1">
      <alignment vertical="center" wrapText="1"/>
    </xf>
    <xf numFmtId="1" fontId="5" fillId="0" borderId="55" xfId="0" applyNumberFormat="1" applyFont="1" applyBorder="1" applyAlignment="1">
      <alignment horizontal="right" vertical="center"/>
    </xf>
    <xf numFmtId="2" fontId="5" fillId="0" borderId="56" xfId="0" applyNumberFormat="1" applyFont="1" applyBorder="1" applyAlignment="1">
      <alignment wrapText="1"/>
    </xf>
    <xf numFmtId="0" fontId="7" fillId="3" borderId="56" xfId="3" applyNumberFormat="1" applyFont="1" applyFill="1" applyBorder="1" applyAlignment="1">
      <alignment horizontal="center" vertical="center" wrapText="1"/>
    </xf>
    <xf numFmtId="167" fontId="7" fillId="4" borderId="56" xfId="3" applyNumberFormat="1" applyFont="1" applyFill="1" applyBorder="1" applyAlignment="1">
      <alignment vertical="center"/>
    </xf>
    <xf numFmtId="167" fontId="7" fillId="9" borderId="56" xfId="3" applyNumberFormat="1" applyFont="1" applyFill="1" applyBorder="1" applyAlignment="1">
      <alignment vertical="center"/>
    </xf>
    <xf numFmtId="2" fontId="7" fillId="3" borderId="56" xfId="3" applyNumberFormat="1" applyFont="1" applyFill="1" applyBorder="1" applyAlignment="1">
      <alignment vertical="center"/>
    </xf>
    <xf numFmtId="2" fontId="7" fillId="3" borderId="53" xfId="3" applyNumberFormat="1" applyFont="1" applyFill="1" applyBorder="1" applyAlignment="1">
      <alignment vertical="center"/>
    </xf>
    <xf numFmtId="2" fontId="7" fillId="3" borderId="54" xfId="3" applyNumberFormat="1" applyFont="1" applyFill="1" applyBorder="1" applyAlignment="1">
      <alignment vertical="center"/>
    </xf>
    <xf numFmtId="49" fontId="7" fillId="0" borderId="1" xfId="3" applyNumberFormat="1" applyFont="1" applyFill="1" applyBorder="1"/>
    <xf numFmtId="49" fontId="7" fillId="0" borderId="15" xfId="3" applyNumberFormat="1" applyFont="1" applyFill="1" applyBorder="1"/>
    <xf numFmtId="49" fontId="7" fillId="0" borderId="38" xfId="3" applyNumberFormat="1" applyFont="1" applyFill="1" applyBorder="1"/>
    <xf numFmtId="0" fontId="7" fillId="0" borderId="15" xfId="3" applyNumberFormat="1" applyFont="1" applyFill="1" applyBorder="1"/>
    <xf numFmtId="0" fontId="7" fillId="0" borderId="43" xfId="3" applyNumberFormat="1" applyFont="1" applyFill="1" applyBorder="1" applyAlignment="1">
      <alignment horizontal="center" vertical="center" wrapText="1"/>
    </xf>
    <xf numFmtId="49" fontId="7" fillId="0" borderId="1" xfId="3" quotePrefix="1" applyNumberFormat="1" applyFont="1" applyFill="1" applyBorder="1" applyAlignment="1">
      <alignment vertical="center" wrapText="1"/>
    </xf>
    <xf numFmtId="0" fontId="5" fillId="0" borderId="43" xfId="3" applyNumberFormat="1" applyFont="1" applyFill="1" applyBorder="1" applyAlignment="1">
      <alignment horizontal="center" vertical="center"/>
    </xf>
    <xf numFmtId="0" fontId="5" fillId="0" borderId="1" xfId="3" quotePrefix="1" applyNumberFormat="1" applyFont="1" applyBorder="1" applyAlignment="1">
      <alignment vertical="center" wrapText="1"/>
    </xf>
    <xf numFmtId="0" fontId="5" fillId="0" borderId="1" xfId="3" quotePrefix="1" applyNumberFormat="1" applyFont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left"/>
    </xf>
    <xf numFmtId="0" fontId="5" fillId="0" borderId="10" xfId="3" quotePrefix="1" applyNumberFormat="1" applyFont="1" applyBorder="1" applyAlignment="1">
      <alignment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4" fontId="5" fillId="0" borderId="1" xfId="3" quotePrefix="1" applyNumberFormat="1" applyFont="1" applyFill="1" applyBorder="1" applyAlignment="1">
      <alignment horizontal="right" vertical="center" wrapText="1"/>
    </xf>
    <xf numFmtId="49" fontId="7" fillId="0" borderId="1" xfId="3" applyNumberFormat="1" applyFont="1" applyFill="1" applyBorder="1" applyAlignment="1">
      <alignment horizontal="left"/>
    </xf>
    <xf numFmtId="49" fontId="7" fillId="0" borderId="4" xfId="3" applyNumberFormat="1" applyFont="1" applyFill="1" applyBorder="1" applyAlignment="1">
      <alignment horizontal="left"/>
    </xf>
    <xf numFmtId="0" fontId="7" fillId="0" borderId="1" xfId="3" applyNumberFormat="1" applyFont="1" applyFill="1" applyBorder="1" applyAlignment="1">
      <alignment horizontal="center"/>
    </xf>
    <xf numFmtId="49" fontId="6" fillId="5" borderId="5" xfId="3" applyNumberFormat="1" applyFont="1" applyFill="1" applyBorder="1"/>
    <xf numFmtId="49" fontId="7" fillId="5" borderId="6" xfId="3" applyNumberFormat="1" applyFont="1" applyFill="1" applyBorder="1"/>
    <xf numFmtId="0" fontId="7" fillId="5" borderId="6" xfId="3" applyFont="1" applyFill="1" applyBorder="1"/>
    <xf numFmtId="0" fontId="5" fillId="5" borderId="6" xfId="3" applyFont="1" applyFill="1" applyBorder="1"/>
    <xf numFmtId="49" fontId="5" fillId="5" borderId="6" xfId="3" applyNumberFormat="1" applyFont="1" applyFill="1" applyBorder="1"/>
    <xf numFmtId="0" fontId="5" fillId="0" borderId="1" xfId="3" applyNumberFormat="1" applyFont="1" applyBorder="1" applyAlignment="1">
      <alignment vertical="center"/>
    </xf>
    <xf numFmtId="0" fontId="7" fillId="0" borderId="1" xfId="3" applyNumberFormat="1" applyFont="1" applyFill="1" applyBorder="1" applyAlignment="1"/>
    <xf numFmtId="0" fontId="7" fillId="0" borderId="4" xfId="3" applyNumberFormat="1" applyFont="1" applyFill="1" applyBorder="1" applyAlignment="1"/>
    <xf numFmtId="0" fontId="5" fillId="5" borderId="10" xfId="3" quotePrefix="1" applyNumberFormat="1" applyFont="1" applyFill="1" applyBorder="1" applyAlignment="1">
      <alignment vertical="center" wrapText="1"/>
    </xf>
    <xf numFmtId="0" fontId="13" fillId="5" borderId="10" xfId="3" quotePrefix="1" applyNumberFormat="1" applyFont="1" applyFill="1" applyBorder="1" applyAlignment="1">
      <alignment vertical="center" wrapText="1"/>
    </xf>
    <xf numFmtId="0" fontId="7" fillId="0" borderId="10" xfId="3" applyNumberFormat="1" applyFont="1" applyFill="1" applyBorder="1" applyAlignment="1">
      <alignment horizontal="center" vertical="center" wrapText="1"/>
    </xf>
    <xf numFmtId="0" fontId="5" fillId="5" borderId="10" xfId="3" applyNumberFormat="1" applyFont="1" applyFill="1" applyBorder="1" applyAlignment="1">
      <alignment vertical="center"/>
    </xf>
    <xf numFmtId="0" fontId="7" fillId="5" borderId="10" xfId="3" applyNumberFormat="1" applyFont="1" applyFill="1" applyBorder="1" applyAlignment="1"/>
    <xf numFmtId="0" fontId="7" fillId="5" borderId="10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/>
    <xf numFmtId="0" fontId="7" fillId="0" borderId="37" xfId="3" applyNumberFormat="1" applyFont="1" applyFill="1" applyBorder="1"/>
    <xf numFmtId="49" fontId="7" fillId="0" borderId="37" xfId="3" applyNumberFormat="1" applyFont="1" applyFill="1" applyBorder="1"/>
    <xf numFmtId="49" fontId="7" fillId="0" borderId="10" xfId="3" quotePrefix="1" applyNumberFormat="1" applyFont="1" applyFill="1" applyBorder="1" applyAlignment="1">
      <alignment vertical="center" wrapText="1"/>
    </xf>
    <xf numFmtId="0" fontId="7" fillId="3" borderId="38" xfId="3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5" borderId="2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/>
    </xf>
    <xf numFmtId="0" fontId="5" fillId="2" borderId="3" xfId="0" applyNumberFormat="1" applyFont="1" applyFill="1" applyBorder="1"/>
    <xf numFmtId="0" fontId="18" fillId="6" borderId="3" xfId="0" applyNumberFormat="1" applyFont="1" applyFill="1" applyBorder="1" applyAlignment="1">
      <alignment vertical="center" wrapText="1"/>
    </xf>
    <xf numFmtId="0" fontId="18" fillId="6" borderId="3" xfId="0" applyNumberFormat="1" applyFont="1" applyFill="1" applyBorder="1" applyAlignment="1">
      <alignment horizontal="center" vertical="center" wrapText="1"/>
    </xf>
    <xf numFmtId="0" fontId="7" fillId="3" borderId="56" xfId="3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49" fontId="21" fillId="0" borderId="40" xfId="3" quotePrefix="1" applyNumberFormat="1" applyFont="1" applyFill="1" applyBorder="1" applyAlignment="1">
      <alignment horizontal="center" vertical="center" wrapText="1"/>
    </xf>
    <xf numFmtId="49" fontId="21" fillId="0" borderId="1" xfId="3" quotePrefix="1" applyNumberFormat="1" applyFont="1" applyFill="1" applyBorder="1" applyAlignment="1">
      <alignment horizontal="center" vertical="center" wrapText="1"/>
    </xf>
    <xf numFmtId="49" fontId="21" fillId="0" borderId="4" xfId="3" quotePrefix="1" applyNumberFormat="1" applyFont="1" applyFill="1" applyBorder="1" applyAlignment="1">
      <alignment horizontal="center" vertical="center" wrapText="1"/>
    </xf>
    <xf numFmtId="3" fontId="7" fillId="0" borderId="1" xfId="3" quotePrefix="1" applyNumberFormat="1" applyFont="1" applyFill="1" applyBorder="1" applyAlignment="1">
      <alignment horizontal="left" vertical="center" wrapText="1"/>
    </xf>
    <xf numFmtId="0" fontId="7" fillId="0" borderId="1" xfId="3" quotePrefix="1" applyNumberFormat="1" applyFont="1" applyFill="1" applyBorder="1" applyAlignment="1">
      <alignment horizontal="left" vertical="center" wrapText="1"/>
    </xf>
    <xf numFmtId="49" fontId="7" fillId="0" borderId="1" xfId="3" quotePrefix="1" applyNumberFormat="1" applyFont="1" applyFill="1" applyBorder="1" applyAlignment="1">
      <alignment horizontal="left" vertical="center" wrapText="1"/>
    </xf>
    <xf numFmtId="0" fontId="5" fillId="0" borderId="4" xfId="3" applyNumberFormat="1" applyFont="1" applyBorder="1" applyAlignment="1">
      <alignment vertical="center"/>
    </xf>
    <xf numFmtId="49" fontId="6" fillId="5" borderId="42" xfId="3" applyNumberFormat="1" applyFont="1" applyFill="1" applyBorder="1"/>
    <xf numFmtId="49" fontId="7" fillId="5" borderId="43" xfId="3" applyNumberFormat="1" applyFont="1" applyFill="1" applyBorder="1"/>
    <xf numFmtId="0" fontId="7" fillId="5" borderId="43" xfId="3" applyFont="1" applyFill="1" applyBorder="1"/>
    <xf numFmtId="0" fontId="5" fillId="5" borderId="43" xfId="3" applyFont="1" applyFill="1" applyBorder="1"/>
    <xf numFmtId="49" fontId="5" fillId="5" borderId="43" xfId="3" applyNumberFormat="1" applyFont="1" applyFill="1" applyBorder="1"/>
    <xf numFmtId="0" fontId="13" fillId="5" borderId="43" xfId="3" quotePrefix="1" applyNumberFormat="1" applyFont="1" applyFill="1" applyBorder="1" applyAlignment="1">
      <alignment vertical="center" wrapText="1"/>
    </xf>
    <xf numFmtId="49" fontId="6" fillId="5" borderId="43" xfId="3" applyNumberFormat="1" applyFont="1" applyFill="1" applyBorder="1" applyAlignment="1">
      <alignment horizontal="left"/>
    </xf>
    <xf numFmtId="49" fontId="6" fillId="5" borderId="44" xfId="3" applyNumberFormat="1" applyFont="1" applyFill="1" applyBorder="1" applyAlignment="1">
      <alignment horizontal="left"/>
    </xf>
    <xf numFmtId="49" fontId="22" fillId="0" borderId="1" xfId="3" applyNumberFormat="1" applyFont="1" applyFill="1" applyBorder="1"/>
    <xf numFmtId="0" fontId="12" fillId="0" borderId="1" xfId="3" applyNumberFormat="1" applyFont="1" applyFill="1" applyBorder="1" applyAlignment="1">
      <alignment horizontal="center" vertical="center" wrapText="1"/>
    </xf>
    <xf numFmtId="0" fontId="6" fillId="4" borderId="12" xfId="3" applyNumberFormat="1" applyFont="1" applyFill="1" applyBorder="1" applyAlignment="1">
      <alignment horizontal="center" vertical="center"/>
    </xf>
    <xf numFmtId="0" fontId="6" fillId="4" borderId="53" xfId="3" applyNumberFormat="1" applyFont="1" applyFill="1" applyBorder="1" applyAlignment="1">
      <alignment horizontal="center" vertical="center"/>
    </xf>
    <xf numFmtId="0" fontId="6" fillId="4" borderId="54" xfId="3" applyNumberFormat="1" applyFont="1" applyFill="1" applyBorder="1" applyAlignment="1">
      <alignment horizontal="center" vertical="center"/>
    </xf>
    <xf numFmtId="3" fontId="7" fillId="0" borderId="1" xfId="3" applyNumberFormat="1" applyFont="1" applyFill="1" applyBorder="1" applyAlignment="1"/>
    <xf numFmtId="0" fontId="7" fillId="0" borderId="40" xfId="3" applyNumberFormat="1" applyFont="1" applyFill="1" applyBorder="1" applyAlignment="1">
      <alignment horizontal="center"/>
    </xf>
    <xf numFmtId="167" fontId="7" fillId="3" borderId="50" xfId="3" applyNumberFormat="1" applyFont="1" applyFill="1" applyBorder="1" applyAlignment="1">
      <alignment horizontal="center" vertical="center" wrapText="1"/>
    </xf>
    <xf numFmtId="4" fontId="7" fillId="0" borderId="1" xfId="3" applyNumberFormat="1" applyFont="1" applyFill="1" applyBorder="1"/>
    <xf numFmtId="1" fontId="5" fillId="2" borderId="51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52" xfId="0" applyNumberFormat="1" applyFont="1" applyFill="1" applyBorder="1" applyAlignment="1">
      <alignment horizontal="right" vertical="center"/>
    </xf>
    <xf numFmtId="2" fontId="7" fillId="0" borderId="1" xfId="3" applyNumberFormat="1" applyFont="1" applyFill="1" applyBorder="1"/>
    <xf numFmtId="0" fontId="13" fillId="5" borderId="6" xfId="3" quotePrefix="1" applyNumberFormat="1" applyFont="1" applyFill="1" applyBorder="1" applyAlignment="1">
      <alignment vertical="center" wrapText="1"/>
    </xf>
    <xf numFmtId="49" fontId="6" fillId="5" borderId="6" xfId="3" applyNumberFormat="1" applyFont="1" applyFill="1" applyBorder="1" applyAlignment="1">
      <alignment horizontal="left"/>
    </xf>
    <xf numFmtId="49" fontId="6" fillId="5" borderId="7" xfId="3" applyNumberFormat="1" applyFont="1" applyFill="1" applyBorder="1" applyAlignment="1">
      <alignment horizontal="left"/>
    </xf>
    <xf numFmtId="167" fontId="7" fillId="7" borderId="39" xfId="3" applyNumberFormat="1" applyFont="1" applyFill="1" applyBorder="1" applyAlignment="1">
      <alignment vertical="center"/>
    </xf>
    <xf numFmtId="49" fontId="7" fillId="0" borderId="57" xfId="3" applyNumberFormat="1" applyFont="1" applyFill="1" applyBorder="1"/>
    <xf numFmtId="0" fontId="5" fillId="0" borderId="1" xfId="3" applyNumberFormat="1" applyFont="1" applyFill="1" applyBorder="1" applyAlignment="1">
      <alignment vertical="center"/>
    </xf>
    <xf numFmtId="0" fontId="13" fillId="0" borderId="1" xfId="3" quotePrefix="1" applyNumberFormat="1" applyFont="1" applyFill="1" applyBorder="1" applyAlignment="1">
      <alignment vertical="center" wrapText="1"/>
    </xf>
    <xf numFmtId="49" fontId="6" fillId="0" borderId="1" xfId="3" applyNumberFormat="1" applyFont="1" applyFill="1" applyBorder="1" applyAlignment="1">
      <alignment horizontal="left"/>
    </xf>
    <xf numFmtId="49" fontId="6" fillId="0" borderId="4" xfId="3" applyNumberFormat="1" applyFont="1" applyFill="1" applyBorder="1" applyAlignment="1">
      <alignment horizontal="left"/>
    </xf>
    <xf numFmtId="0" fontId="5" fillId="0" borderId="10" xfId="3" applyNumberFormat="1" applyFont="1" applyFill="1" applyBorder="1" applyAlignment="1">
      <alignment vertical="center"/>
    </xf>
    <xf numFmtId="0" fontId="13" fillId="0" borderId="10" xfId="3" quotePrefix="1" applyNumberFormat="1" applyFont="1" applyFill="1" applyBorder="1" applyAlignment="1">
      <alignment vertical="center" wrapText="1"/>
    </xf>
    <xf numFmtId="49" fontId="6" fillId="0" borderId="10" xfId="3" applyNumberFormat="1" applyFont="1" applyFill="1" applyBorder="1" applyAlignment="1">
      <alignment horizontal="left"/>
    </xf>
    <xf numFmtId="49" fontId="6" fillId="0" borderId="11" xfId="3" applyNumberFormat="1" applyFont="1" applyFill="1" applyBorder="1" applyAlignment="1">
      <alignment horizontal="left"/>
    </xf>
    <xf numFmtId="1" fontId="5" fillId="2" borderId="17" xfId="0" applyNumberFormat="1" applyFont="1" applyFill="1" applyBorder="1" applyAlignment="1">
      <alignment horizontal="right" vertical="center"/>
    </xf>
    <xf numFmtId="49" fontId="7" fillId="3" borderId="56" xfId="3" applyNumberFormat="1" applyFont="1" applyFill="1" applyBorder="1" applyAlignment="1">
      <alignment horizontal="center" vertical="center" wrapText="1"/>
    </xf>
    <xf numFmtId="0" fontId="5" fillId="0" borderId="6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left"/>
    </xf>
    <xf numFmtId="2" fontId="7" fillId="0" borderId="1" xfId="3" applyNumberFormat="1" applyFont="1" applyFill="1" applyBorder="1" applyAlignment="1">
      <alignment horizontal="center"/>
    </xf>
    <xf numFmtId="3" fontId="7" fillId="0" borderId="1" xfId="3" applyNumberFormat="1" applyFont="1" applyFill="1" applyBorder="1" applyAlignment="1">
      <alignment horizontal="left"/>
    </xf>
    <xf numFmtId="2" fontId="7" fillId="0" borderId="1" xfId="3" applyNumberFormat="1" applyFont="1" applyFill="1" applyBorder="1" applyAlignment="1">
      <alignment horizontal="left"/>
    </xf>
    <xf numFmtId="0" fontId="7" fillId="0" borderId="1" xfId="3" applyNumberFormat="1" applyFont="1" applyFill="1" applyBorder="1" applyAlignment="1">
      <alignment horizontal="right"/>
    </xf>
    <xf numFmtId="168" fontId="7" fillId="0" borderId="1" xfId="3" applyNumberFormat="1" applyFont="1" applyFill="1" applyBorder="1" applyAlignment="1">
      <alignment horizontal="left"/>
    </xf>
    <xf numFmtId="0" fontId="7" fillId="0" borderId="43" xfId="3" applyNumberFormat="1" applyFont="1" applyFill="1" applyBorder="1" applyAlignment="1">
      <alignment horizontal="right"/>
    </xf>
    <xf numFmtId="0" fontId="7" fillId="0" borderId="43" xfId="3" applyNumberFormat="1" applyFont="1" applyFill="1" applyBorder="1" applyAlignment="1">
      <alignment horizontal="left"/>
    </xf>
    <xf numFmtId="0" fontId="7" fillId="0" borderId="44" xfId="3" applyNumberFormat="1" applyFont="1" applyFill="1" applyBorder="1" applyAlignment="1">
      <alignment horizontal="left"/>
    </xf>
    <xf numFmtId="49" fontId="22" fillId="0" borderId="42" xfId="3" applyNumberFormat="1" applyFont="1" applyFill="1" applyBorder="1" applyAlignment="1">
      <alignment horizontal="right"/>
    </xf>
    <xf numFmtId="49" fontId="22" fillId="0" borderId="43" xfId="3" applyNumberFormat="1" applyFont="1" applyFill="1" applyBorder="1" applyAlignment="1">
      <alignment horizontal="right"/>
    </xf>
    <xf numFmtId="49" fontId="22" fillId="0" borderId="44" xfId="3" applyNumberFormat="1" applyFont="1" applyFill="1" applyBorder="1" applyAlignment="1">
      <alignment horizontal="right"/>
    </xf>
    <xf numFmtId="0" fontId="7" fillId="0" borderId="1" xfId="3" applyNumberFormat="1" applyFont="1" applyFill="1" applyBorder="1" applyAlignment="1">
      <alignment horizontal="left"/>
    </xf>
    <xf numFmtId="0" fontId="7" fillId="0" borderId="4" xfId="3" applyNumberFormat="1" applyFont="1" applyFill="1" applyBorder="1" applyAlignment="1">
      <alignment horizontal="left"/>
    </xf>
    <xf numFmtId="4" fontId="5" fillId="0" borderId="40" xfId="3" quotePrefix="1" applyNumberFormat="1" applyFont="1" applyFill="1" applyBorder="1" applyAlignment="1">
      <alignment horizontal="right" vertical="center" wrapText="1"/>
    </xf>
    <xf numFmtId="4" fontId="5" fillId="0" borderId="1" xfId="3" quotePrefix="1" applyNumberFormat="1" applyFont="1" applyFill="1" applyBorder="1" applyAlignment="1">
      <alignment horizontal="right" vertical="center" wrapText="1"/>
    </xf>
    <xf numFmtId="49" fontId="7" fillId="0" borderId="1" xfId="3" applyNumberFormat="1" applyFont="1" applyFill="1" applyBorder="1" applyAlignment="1">
      <alignment horizontal="left"/>
    </xf>
    <xf numFmtId="49" fontId="7" fillId="0" borderId="4" xfId="3" applyNumberFormat="1" applyFont="1" applyFill="1" applyBorder="1" applyAlignment="1">
      <alignment horizontal="left"/>
    </xf>
    <xf numFmtId="0" fontId="7" fillId="0" borderId="9" xfId="3" applyNumberFormat="1" applyFont="1" applyFill="1" applyBorder="1" applyAlignment="1">
      <alignment horizontal="center"/>
    </xf>
    <xf numFmtId="0" fontId="7" fillId="0" borderId="10" xfId="3" applyNumberFormat="1" applyFont="1" applyFill="1" applyBorder="1" applyAlignment="1">
      <alignment horizontal="center"/>
    </xf>
    <xf numFmtId="3" fontId="7" fillId="0" borderId="10" xfId="3" quotePrefix="1" applyNumberFormat="1" applyFont="1" applyFill="1" applyBorder="1" applyAlignment="1">
      <alignment horizontal="center" vertical="center" wrapText="1"/>
    </xf>
    <xf numFmtId="49" fontId="7" fillId="0" borderId="10" xfId="3" quotePrefix="1" applyNumberFormat="1" applyFont="1" applyFill="1" applyBorder="1" applyAlignment="1">
      <alignment horizontal="left" vertical="center" wrapText="1"/>
    </xf>
    <xf numFmtId="0" fontId="7" fillId="0" borderId="10" xfId="3" quotePrefix="1" applyNumberFormat="1" applyFont="1" applyFill="1" applyBorder="1" applyAlignment="1">
      <alignment horizontal="left" vertical="center" wrapText="1"/>
    </xf>
    <xf numFmtId="49" fontId="7" fillId="0" borderId="11" xfId="3" quotePrefix="1" applyNumberFormat="1" applyFont="1" applyFill="1" applyBorder="1" applyAlignment="1">
      <alignment horizontal="left" vertical="center" wrapText="1"/>
    </xf>
    <xf numFmtId="0" fontId="5" fillId="0" borderId="9" xfId="3" quotePrefix="1" applyNumberFormat="1" applyFont="1" applyBorder="1" applyAlignment="1">
      <alignment horizontal="center" vertical="center" wrapText="1"/>
    </xf>
    <xf numFmtId="0" fontId="5" fillId="0" borderId="10" xfId="3" quotePrefix="1" applyNumberFormat="1" applyFont="1" applyBorder="1" applyAlignment="1">
      <alignment horizontal="center" vertical="center" wrapText="1"/>
    </xf>
    <xf numFmtId="0" fontId="7" fillId="0" borderId="10" xfId="3" applyNumberFormat="1" applyFont="1" applyFill="1" applyBorder="1" applyAlignment="1">
      <alignment horizontal="left"/>
    </xf>
    <xf numFmtId="0" fontId="7" fillId="0" borderId="11" xfId="3" applyNumberFormat="1" applyFont="1" applyFill="1" applyBorder="1" applyAlignment="1">
      <alignment horizontal="left"/>
    </xf>
    <xf numFmtId="4" fontId="5" fillId="0" borderId="9" xfId="3" quotePrefix="1" applyNumberFormat="1" applyFont="1" applyFill="1" applyBorder="1" applyAlignment="1">
      <alignment horizontal="right" vertical="center" wrapText="1"/>
    </xf>
    <xf numFmtId="4" fontId="5" fillId="0" borderId="10" xfId="3" quotePrefix="1" applyNumberFormat="1" applyFont="1" applyFill="1" applyBorder="1" applyAlignment="1">
      <alignment horizontal="right" vertical="center" wrapText="1"/>
    </xf>
    <xf numFmtId="49" fontId="7" fillId="0" borderId="10" xfId="3" applyNumberFormat="1" applyFont="1" applyFill="1" applyBorder="1" applyAlignment="1">
      <alignment horizontal="left"/>
    </xf>
    <xf numFmtId="49" fontId="7" fillId="0" borderId="11" xfId="3" applyNumberFormat="1" applyFont="1" applyFill="1" applyBorder="1" applyAlignment="1">
      <alignment horizontal="left"/>
    </xf>
    <xf numFmtId="49" fontId="7" fillId="0" borderId="42" xfId="3" quotePrefix="1" applyNumberFormat="1" applyFont="1" applyFill="1" applyBorder="1" applyAlignment="1">
      <alignment horizontal="left" vertical="center" wrapText="1"/>
    </xf>
    <xf numFmtId="49" fontId="7" fillId="0" borderId="43" xfId="3" quotePrefix="1" applyNumberFormat="1" applyFont="1" applyFill="1" applyBorder="1" applyAlignment="1">
      <alignment horizontal="left" vertical="center" wrapText="1"/>
    </xf>
    <xf numFmtId="49" fontId="7" fillId="0" borderId="44" xfId="3" quotePrefix="1" applyNumberFormat="1" applyFont="1" applyFill="1" applyBorder="1" applyAlignment="1">
      <alignment horizontal="left" vertical="center" wrapText="1"/>
    </xf>
    <xf numFmtId="0" fontId="13" fillId="5" borderId="6" xfId="3" quotePrefix="1" applyNumberFormat="1" applyFont="1" applyFill="1" applyBorder="1" applyAlignment="1">
      <alignment horizontal="center" vertical="center" wrapText="1"/>
    </xf>
    <xf numFmtId="4" fontId="13" fillId="5" borderId="6" xfId="3" quotePrefix="1" applyNumberFormat="1" applyFont="1" applyFill="1" applyBorder="1" applyAlignment="1">
      <alignment horizontal="right" vertical="center" wrapText="1"/>
    </xf>
    <xf numFmtId="0" fontId="5" fillId="0" borderId="42" xfId="3" applyNumberFormat="1" applyFont="1" applyBorder="1" applyAlignment="1">
      <alignment horizontal="center" vertical="center"/>
    </xf>
    <xf numFmtId="0" fontId="5" fillId="0" borderId="43" xfId="3" applyNumberFormat="1" applyFont="1" applyBorder="1" applyAlignment="1">
      <alignment horizontal="center" vertical="center"/>
    </xf>
    <xf numFmtId="4" fontId="7" fillId="0" borderId="43" xfId="3" applyNumberFormat="1" applyFont="1" applyFill="1" applyBorder="1" applyAlignment="1">
      <alignment horizontal="left" vertical="center" wrapText="1"/>
    </xf>
    <xf numFmtId="0" fontId="7" fillId="0" borderId="43" xfId="3" applyNumberFormat="1" applyFont="1" applyFill="1" applyBorder="1" applyAlignment="1">
      <alignment horizontal="left" vertical="center" wrapText="1"/>
    </xf>
    <xf numFmtId="49" fontId="6" fillId="0" borderId="40" xfId="3" quotePrefix="1" applyNumberFormat="1" applyFont="1" applyFill="1" applyBorder="1" applyAlignment="1">
      <alignment horizontal="right" vertical="center" wrapText="1"/>
    </xf>
    <xf numFmtId="49" fontId="6" fillId="0" borderId="1" xfId="3" quotePrefix="1" applyNumberFormat="1" applyFont="1" applyFill="1" applyBorder="1" applyAlignment="1">
      <alignment horizontal="right" vertical="center" wrapText="1"/>
    </xf>
    <xf numFmtId="0" fontId="13" fillId="0" borderId="1" xfId="3" quotePrefix="1" applyNumberFormat="1" applyFont="1" applyFill="1" applyBorder="1" applyAlignment="1">
      <alignment horizontal="center" vertical="center" wrapText="1"/>
    </xf>
    <xf numFmtId="4" fontId="13" fillId="0" borderId="1" xfId="3" quotePrefix="1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left"/>
    </xf>
    <xf numFmtId="49" fontId="6" fillId="0" borderId="4" xfId="3" applyNumberFormat="1" applyFont="1" applyFill="1" applyBorder="1" applyAlignment="1">
      <alignment horizontal="left"/>
    </xf>
    <xf numFmtId="4" fontId="7" fillId="0" borderId="1" xfId="3" applyNumberFormat="1" applyFont="1" applyFill="1" applyBorder="1" applyAlignment="1">
      <alignment horizontal="center"/>
    </xf>
    <xf numFmtId="0" fontId="13" fillId="0" borderId="10" xfId="3" quotePrefix="1" applyNumberFormat="1" applyFont="1" applyFill="1" applyBorder="1" applyAlignment="1">
      <alignment horizontal="center" vertical="center" wrapText="1"/>
    </xf>
    <xf numFmtId="4" fontId="13" fillId="0" borderId="10" xfId="3" quotePrefix="1" applyNumberFormat="1" applyFont="1" applyFill="1" applyBorder="1" applyAlignment="1">
      <alignment horizontal="center" vertical="center" wrapText="1"/>
    </xf>
    <xf numFmtId="49" fontId="6" fillId="0" borderId="9" xfId="3" quotePrefix="1" applyNumberFormat="1" applyFont="1" applyFill="1" applyBorder="1" applyAlignment="1">
      <alignment horizontal="right" vertical="center" wrapText="1"/>
    </xf>
    <xf numFmtId="49" fontId="6" fillId="0" borderId="10" xfId="3" quotePrefix="1" applyNumberFormat="1" applyFont="1" applyFill="1" applyBorder="1" applyAlignment="1">
      <alignment horizontal="right" vertical="center" wrapText="1"/>
    </xf>
    <xf numFmtId="165" fontId="7" fillId="0" borderId="1" xfId="3" quotePrefix="1" applyNumberFormat="1" applyFont="1" applyBorder="1" applyAlignment="1">
      <alignment horizontal="left" vertical="center" wrapText="1"/>
    </xf>
    <xf numFmtId="165" fontId="1" fillId="0" borderId="1" xfId="3" applyNumberFormat="1" applyFont="1" applyBorder="1" applyAlignment="1">
      <alignment horizontal="left" vertical="center" wrapText="1"/>
    </xf>
    <xf numFmtId="0" fontId="5" fillId="0" borderId="40" xfId="3" quotePrefix="1" applyNumberFormat="1" applyFont="1" applyBorder="1" applyAlignment="1">
      <alignment horizontal="center" vertical="center" wrapText="1"/>
    </xf>
    <xf numFmtId="0" fontId="5" fillId="0" borderId="1" xfId="3" quotePrefix="1" applyNumberFormat="1" applyFont="1" applyBorder="1" applyAlignment="1">
      <alignment horizontal="center" vertical="center" wrapText="1"/>
    </xf>
    <xf numFmtId="4" fontId="7" fillId="0" borderId="10" xfId="3" quotePrefix="1" applyNumberFormat="1" applyFont="1" applyFill="1" applyBorder="1" applyAlignment="1">
      <alignment horizontal="center" vertical="center" wrapText="1"/>
    </xf>
    <xf numFmtId="49" fontId="7" fillId="5" borderId="9" xfId="3" quotePrefix="1" applyNumberFormat="1" applyFont="1" applyFill="1" applyBorder="1" applyAlignment="1">
      <alignment horizontal="center" vertical="center" wrapText="1"/>
    </xf>
    <xf numFmtId="49" fontId="7" fillId="5" borderId="10" xfId="3" quotePrefix="1" applyNumberFormat="1" applyFont="1" applyFill="1" applyBorder="1" applyAlignment="1">
      <alignment horizontal="center" vertical="center" wrapText="1"/>
    </xf>
    <xf numFmtId="0" fontId="13" fillId="5" borderId="10" xfId="3" quotePrefix="1" applyNumberFormat="1" applyFont="1" applyFill="1" applyBorder="1" applyAlignment="1">
      <alignment horizontal="center" vertical="center" wrapText="1"/>
    </xf>
    <xf numFmtId="4" fontId="13" fillId="5" borderId="10" xfId="3" quotePrefix="1" applyNumberFormat="1" applyFont="1" applyFill="1" applyBorder="1" applyAlignment="1">
      <alignment horizontal="right" vertical="center" wrapText="1"/>
    </xf>
    <xf numFmtId="49" fontId="6" fillId="5" borderId="10" xfId="3" applyNumberFormat="1" applyFont="1" applyFill="1" applyBorder="1" applyAlignment="1">
      <alignment horizontal="left"/>
    </xf>
    <xf numFmtId="49" fontId="6" fillId="5" borderId="11" xfId="3" applyNumberFormat="1" applyFont="1" applyFill="1" applyBorder="1" applyAlignment="1">
      <alignment horizontal="left"/>
    </xf>
    <xf numFmtId="49" fontId="6" fillId="0" borderId="10" xfId="3" applyNumberFormat="1" applyFont="1" applyFill="1" applyBorder="1" applyAlignment="1">
      <alignment horizontal="left"/>
    </xf>
    <xf numFmtId="49" fontId="6" fillId="0" borderId="11" xfId="3" applyNumberFormat="1" applyFont="1" applyFill="1" applyBorder="1" applyAlignment="1">
      <alignment horizontal="left"/>
    </xf>
    <xf numFmtId="49" fontId="21" fillId="0" borderId="40" xfId="3" quotePrefix="1" applyNumberFormat="1" applyFont="1" applyFill="1" applyBorder="1" applyAlignment="1">
      <alignment horizontal="left" vertical="top" wrapText="1"/>
    </xf>
    <xf numFmtId="49" fontId="21" fillId="0" borderId="1" xfId="3" quotePrefix="1" applyNumberFormat="1" applyFont="1" applyFill="1" applyBorder="1" applyAlignment="1">
      <alignment horizontal="left" vertical="top" wrapText="1"/>
    </xf>
    <xf numFmtId="49" fontId="21" fillId="0" borderId="4" xfId="3" quotePrefix="1" applyNumberFormat="1" applyFont="1" applyFill="1" applyBorder="1" applyAlignment="1">
      <alignment horizontal="left" vertical="top" wrapText="1"/>
    </xf>
    <xf numFmtId="49" fontId="7" fillId="0" borderId="40" xfId="3" quotePrefix="1" applyNumberFormat="1" applyFont="1" applyBorder="1" applyAlignment="1">
      <alignment horizontal="right" vertical="center" wrapText="1"/>
    </xf>
    <xf numFmtId="0" fontId="1" fillId="0" borderId="1" xfId="3" applyFont="1" applyBorder="1" applyAlignment="1">
      <alignment horizontal="right" vertical="center" wrapText="1"/>
    </xf>
    <xf numFmtId="0" fontId="5" fillId="0" borderId="42" xfId="3" applyNumberFormat="1" applyFont="1" applyBorder="1" applyAlignment="1">
      <alignment horizontal="right" vertical="center"/>
    </xf>
    <xf numFmtId="0" fontId="5" fillId="0" borderId="43" xfId="3" applyNumberFormat="1" applyFont="1" applyBorder="1" applyAlignment="1">
      <alignment horizontal="right" vertical="center"/>
    </xf>
    <xf numFmtId="49" fontId="5" fillId="0" borderId="43" xfId="3" applyNumberFormat="1" applyFont="1" applyFill="1" applyBorder="1" applyAlignment="1">
      <alignment horizontal="right" vertical="center"/>
    </xf>
    <xf numFmtId="0" fontId="5" fillId="0" borderId="43" xfId="3" applyNumberFormat="1" applyFont="1" applyFill="1" applyBorder="1" applyAlignment="1">
      <alignment horizontal="right" vertical="center"/>
    </xf>
    <xf numFmtId="49" fontId="5" fillId="0" borderId="43" xfId="3" applyNumberFormat="1" applyFont="1" applyFill="1" applyBorder="1" applyAlignment="1">
      <alignment horizontal="left" vertical="center"/>
    </xf>
    <xf numFmtId="0" fontId="5" fillId="0" borderId="43" xfId="3" applyNumberFormat="1" applyFont="1" applyFill="1" applyBorder="1" applyAlignment="1">
      <alignment horizontal="left" vertical="center"/>
    </xf>
    <xf numFmtId="0" fontId="7" fillId="0" borderId="43" xfId="3" applyNumberFormat="1" applyFont="1" applyFill="1" applyBorder="1" applyAlignment="1">
      <alignment horizontal="center"/>
    </xf>
    <xf numFmtId="49" fontId="7" fillId="0" borderId="1" xfId="3" quotePrefix="1" applyNumberFormat="1" applyFont="1" applyBorder="1" applyAlignment="1">
      <alignment horizontal="right" vertical="center" wrapText="1"/>
    </xf>
    <xf numFmtId="2" fontId="7" fillId="0" borderId="1" xfId="3" quotePrefix="1" applyNumberFormat="1" applyFont="1" applyBorder="1" applyAlignment="1">
      <alignment horizontal="left" vertical="center" wrapText="1"/>
    </xf>
    <xf numFmtId="2" fontId="1" fillId="0" borderId="1" xfId="3" applyNumberFormat="1" applyFont="1" applyBorder="1" applyAlignment="1">
      <alignment horizontal="left" vertical="center" wrapText="1"/>
    </xf>
    <xf numFmtId="49" fontId="20" fillId="0" borderId="40" xfId="3" quotePrefix="1" applyNumberFormat="1" applyFont="1" applyFill="1" applyBorder="1" applyAlignment="1">
      <alignment horizontal="right" vertical="center" wrapText="1"/>
    </xf>
    <xf numFmtId="49" fontId="20" fillId="0" borderId="1" xfId="3" quotePrefix="1" applyNumberFormat="1" applyFont="1" applyFill="1" applyBorder="1" applyAlignment="1">
      <alignment horizontal="right" vertical="center" wrapText="1"/>
    </xf>
    <xf numFmtId="49" fontId="20" fillId="0" borderId="4" xfId="3" quotePrefix="1" applyNumberFormat="1" applyFont="1" applyFill="1" applyBorder="1" applyAlignment="1">
      <alignment horizontal="right" vertical="center" wrapText="1"/>
    </xf>
    <xf numFmtId="0" fontId="7" fillId="0" borderId="1" xfId="3" applyNumberFormat="1" applyFont="1" applyFill="1" applyBorder="1" applyAlignment="1">
      <alignment horizontal="center"/>
    </xf>
    <xf numFmtId="4" fontId="5" fillId="0" borderId="40" xfId="3" quotePrefix="1" applyNumberFormat="1" applyFont="1" applyFill="1" applyBorder="1" applyAlignment="1">
      <alignment horizontal="left" vertical="center" wrapText="1"/>
    </xf>
    <xf numFmtId="4" fontId="5" fillId="0" borderId="1" xfId="3" quotePrefix="1" applyNumberFormat="1" applyFont="1" applyFill="1" applyBorder="1" applyAlignment="1">
      <alignment horizontal="left" vertical="center" wrapText="1"/>
    </xf>
    <xf numFmtId="49" fontId="7" fillId="0" borderId="5" xfId="3" quotePrefix="1" applyNumberFormat="1" applyFont="1" applyFill="1" applyBorder="1" applyAlignment="1">
      <alignment horizontal="left" vertical="center" wrapText="1"/>
    </xf>
    <xf numFmtId="49" fontId="7" fillId="0" borderId="6" xfId="3" quotePrefix="1" applyNumberFormat="1" applyFont="1" applyFill="1" applyBorder="1" applyAlignment="1">
      <alignment horizontal="left" vertical="center" wrapText="1"/>
    </xf>
    <xf numFmtId="49" fontId="7" fillId="0" borderId="7" xfId="3" quotePrefix="1" applyNumberFormat="1" applyFont="1" applyFill="1" applyBorder="1" applyAlignment="1">
      <alignment horizontal="left" vertical="center" wrapText="1"/>
    </xf>
    <xf numFmtId="0" fontId="5" fillId="0" borderId="5" xfId="3" applyNumberFormat="1" applyFont="1" applyBorder="1" applyAlignment="1">
      <alignment horizontal="right" vertical="center"/>
    </xf>
    <xf numFmtId="0" fontId="5" fillId="0" borderId="6" xfId="3" applyNumberFormat="1" applyFont="1" applyBorder="1" applyAlignment="1">
      <alignment horizontal="right" vertical="center"/>
    </xf>
    <xf numFmtId="49" fontId="5" fillId="0" borderId="6" xfId="3" applyNumberFormat="1" applyFont="1" applyFill="1" applyBorder="1" applyAlignment="1">
      <alignment horizontal="right" vertical="center"/>
    </xf>
    <xf numFmtId="0" fontId="5" fillId="0" borderId="6" xfId="3" applyNumberFormat="1" applyFont="1" applyFill="1" applyBorder="1" applyAlignment="1">
      <alignment horizontal="right" vertical="center"/>
    </xf>
    <xf numFmtId="49" fontId="5" fillId="0" borderId="6" xfId="3" applyNumberFormat="1" applyFont="1" applyFill="1" applyBorder="1" applyAlignment="1">
      <alignment horizontal="left" vertical="center"/>
    </xf>
    <xf numFmtId="0" fontId="5" fillId="0" borderId="6" xfId="3" applyNumberFormat="1" applyFont="1" applyFill="1" applyBorder="1" applyAlignment="1">
      <alignment horizontal="left" vertical="center"/>
    </xf>
    <xf numFmtId="0" fontId="7" fillId="0" borderId="6" xfId="3" applyNumberFormat="1" applyFont="1" applyFill="1" applyBorder="1" applyAlignment="1">
      <alignment horizontal="right"/>
    </xf>
    <xf numFmtId="0" fontId="7" fillId="0" borderId="6" xfId="3" applyNumberFormat="1" applyFont="1" applyFill="1" applyBorder="1" applyAlignment="1">
      <alignment horizontal="center"/>
    </xf>
    <xf numFmtId="0" fontId="7" fillId="0" borderId="6" xfId="3" applyNumberFormat="1" applyFont="1" applyFill="1" applyBorder="1" applyAlignment="1">
      <alignment horizontal="left"/>
    </xf>
    <xf numFmtId="0" fontId="7" fillId="0" borderId="7" xfId="3" applyNumberFormat="1" applyFont="1" applyFill="1" applyBorder="1" applyAlignment="1">
      <alignment horizontal="left"/>
    </xf>
    <xf numFmtId="49" fontId="22" fillId="0" borderId="5" xfId="3" applyNumberFormat="1" applyFont="1" applyFill="1" applyBorder="1" applyAlignment="1">
      <alignment horizontal="right"/>
    </xf>
    <xf numFmtId="49" fontId="22" fillId="0" borderId="6" xfId="3" applyNumberFormat="1" applyFont="1" applyFill="1" applyBorder="1" applyAlignment="1">
      <alignment horizontal="right"/>
    </xf>
    <xf numFmtId="49" fontId="22" fillId="0" borderId="7" xfId="3" applyNumberFormat="1" applyFont="1" applyFill="1" applyBorder="1" applyAlignment="1">
      <alignment horizontal="right"/>
    </xf>
    <xf numFmtId="1" fontId="6" fillId="5" borderId="26" xfId="3" applyNumberFormat="1" applyFont="1" applyFill="1" applyBorder="1" applyAlignment="1">
      <alignment horizontal="right" vertical="center" wrapText="1"/>
    </xf>
    <xf numFmtId="0" fontId="6" fillId="5" borderId="27" xfId="3" applyNumberFormat="1" applyFont="1" applyFill="1" applyBorder="1" applyAlignment="1">
      <alignment horizontal="right" vertical="center" wrapText="1"/>
    </xf>
    <xf numFmtId="2" fontId="6" fillId="5" borderId="27" xfId="3" applyNumberFormat="1" applyFont="1" applyFill="1" applyBorder="1" applyAlignment="1">
      <alignment horizontal="left" vertical="center" wrapText="1"/>
    </xf>
    <xf numFmtId="0" fontId="22" fillId="5" borderId="23" xfId="3" applyNumberFormat="1" applyFont="1" applyFill="1" applyBorder="1" applyAlignment="1">
      <alignment horizontal="right" vertical="center" wrapText="1"/>
    </xf>
    <xf numFmtId="0" fontId="22" fillId="5" borderId="24" xfId="3" applyNumberFormat="1" applyFont="1" applyFill="1" applyBorder="1" applyAlignment="1">
      <alignment horizontal="right" vertical="center" wrapText="1"/>
    </xf>
    <xf numFmtId="3" fontId="7" fillId="0" borderId="10" xfId="3" quotePrefix="1" applyNumberFormat="1" applyFont="1" applyFill="1" applyBorder="1" applyAlignment="1">
      <alignment horizontal="left" vertical="center" wrapText="1"/>
    </xf>
    <xf numFmtId="0" fontId="5" fillId="0" borderId="9" xfId="3" quotePrefix="1" applyNumberFormat="1" applyFont="1" applyBorder="1" applyAlignment="1">
      <alignment horizontal="right" vertical="center" wrapText="1"/>
    </xf>
    <xf numFmtId="0" fontId="5" fillId="0" borderId="10" xfId="3" quotePrefix="1" applyNumberFormat="1" applyFont="1" applyBorder="1" applyAlignment="1">
      <alignment horizontal="right" vertical="center" wrapText="1"/>
    </xf>
    <xf numFmtId="9" fontId="7" fillId="0" borderId="1" xfId="3" applyNumberFormat="1" applyFont="1" applyFill="1" applyBorder="1" applyAlignment="1">
      <alignment horizontal="left"/>
    </xf>
    <xf numFmtId="4" fontId="7" fillId="0" borderId="10" xfId="3" quotePrefix="1" applyNumberFormat="1" applyFont="1" applyFill="1" applyBorder="1" applyAlignment="1">
      <alignment horizontal="left" vertical="center" wrapText="1"/>
    </xf>
    <xf numFmtId="49" fontId="22" fillId="0" borderId="40" xfId="3" applyNumberFormat="1" applyFont="1" applyFill="1" applyBorder="1" applyAlignment="1">
      <alignment horizontal="right"/>
    </xf>
    <xf numFmtId="49" fontId="22" fillId="0" borderId="1" xfId="3" applyNumberFormat="1" applyFont="1" applyFill="1" applyBorder="1" applyAlignment="1">
      <alignment horizontal="right"/>
    </xf>
    <xf numFmtId="49" fontId="22" fillId="0" borderId="4" xfId="3" applyNumberFormat="1" applyFont="1" applyFill="1" applyBorder="1" applyAlignment="1">
      <alignment horizontal="right"/>
    </xf>
    <xf numFmtId="49" fontId="7" fillId="0" borderId="42" xfId="3" applyNumberFormat="1" applyFont="1" applyFill="1" applyBorder="1" applyAlignment="1">
      <alignment horizontal="center"/>
    </xf>
    <xf numFmtId="49" fontId="7" fillId="0" borderId="43" xfId="3" applyNumberFormat="1" applyFont="1" applyFill="1" applyBorder="1" applyAlignment="1">
      <alignment horizontal="center"/>
    </xf>
    <xf numFmtId="49" fontId="7" fillId="0" borderId="44" xfId="3" applyNumberFormat="1" applyFont="1" applyFill="1" applyBorder="1" applyAlignment="1">
      <alignment horizontal="center"/>
    </xf>
    <xf numFmtId="0" fontId="21" fillId="0" borderId="40" xfId="3" quotePrefix="1" applyNumberFormat="1" applyFont="1" applyFill="1" applyBorder="1" applyAlignment="1">
      <alignment vertical="top" wrapText="1"/>
    </xf>
    <xf numFmtId="0" fontId="21" fillId="0" borderId="1" xfId="3" quotePrefix="1" applyNumberFormat="1" applyFont="1" applyFill="1" applyBorder="1" applyAlignment="1">
      <alignment vertical="top" wrapText="1"/>
    </xf>
    <xf numFmtId="0" fontId="21" fillId="0" borderId="4" xfId="3" quotePrefix="1" applyNumberFormat="1" applyFont="1" applyFill="1" applyBorder="1" applyAlignment="1">
      <alignment vertical="top" wrapText="1"/>
    </xf>
    <xf numFmtId="0" fontId="5" fillId="0" borderId="40" xfId="3" quotePrefix="1" applyNumberFormat="1" applyFont="1" applyBorder="1" applyAlignment="1">
      <alignment horizontal="right" vertical="center" wrapText="1"/>
    </xf>
    <xf numFmtId="0" fontId="5" fillId="0" borderId="1" xfId="3" quotePrefix="1" applyNumberFormat="1" applyFont="1" applyBorder="1" applyAlignment="1">
      <alignment horizontal="right" vertical="center" wrapText="1"/>
    </xf>
    <xf numFmtId="49" fontId="6" fillId="2" borderId="2" xfId="3" applyNumberFormat="1" applyFont="1" applyFill="1" applyBorder="1" applyAlignment="1">
      <alignment horizontal="right" vertical="center" wrapText="1"/>
    </xf>
    <xf numFmtId="0" fontId="6" fillId="2" borderId="3" xfId="3" applyNumberFormat="1" applyFont="1" applyFill="1" applyBorder="1" applyAlignment="1">
      <alignment horizontal="right" vertical="center" wrapText="1"/>
    </xf>
    <xf numFmtId="2" fontId="6" fillId="2" borderId="3" xfId="3" applyNumberFormat="1" applyFont="1" applyFill="1" applyBorder="1" applyAlignment="1">
      <alignment horizontal="left" vertical="center" wrapText="1"/>
    </xf>
    <xf numFmtId="0" fontId="6" fillId="2" borderId="3" xfId="3" applyNumberFormat="1" applyFont="1" applyFill="1" applyBorder="1" applyAlignment="1">
      <alignment horizontal="left" vertical="center" wrapText="1"/>
    </xf>
    <xf numFmtId="0" fontId="6" fillId="2" borderId="22" xfId="3" applyNumberFormat="1" applyFont="1" applyFill="1" applyBorder="1" applyAlignment="1">
      <alignment horizontal="left" vertical="center" wrapText="1"/>
    </xf>
    <xf numFmtId="0" fontId="13" fillId="5" borderId="43" xfId="3" quotePrefix="1" applyNumberFormat="1" applyFont="1" applyFill="1" applyBorder="1" applyAlignment="1">
      <alignment horizontal="center" vertical="center" wrapText="1"/>
    </xf>
    <xf numFmtId="3" fontId="7" fillId="0" borderId="4" xfId="3" applyNumberFormat="1" applyFont="1" applyFill="1" applyBorder="1" applyAlignment="1">
      <alignment horizontal="left"/>
    </xf>
    <xf numFmtId="0" fontId="22" fillId="5" borderId="27" xfId="3" applyNumberFormat="1" applyFont="1" applyFill="1" applyBorder="1" applyAlignment="1">
      <alignment horizontal="right" vertical="center" wrapText="1"/>
    </xf>
    <xf numFmtId="0" fontId="22" fillId="5" borderId="28" xfId="3" applyNumberFormat="1" applyFont="1" applyFill="1" applyBorder="1" applyAlignment="1">
      <alignment horizontal="right" vertical="center" wrapText="1"/>
    </xf>
    <xf numFmtId="49" fontId="20" fillId="0" borderId="40" xfId="3" quotePrefix="1" applyNumberFormat="1" applyFont="1" applyFill="1" applyBorder="1" applyAlignment="1">
      <alignment horizontal="left" vertical="top" wrapText="1"/>
    </xf>
    <xf numFmtId="49" fontId="20" fillId="0" borderId="1" xfId="3" quotePrefix="1" applyNumberFormat="1" applyFont="1" applyFill="1" applyBorder="1" applyAlignment="1">
      <alignment horizontal="left" vertical="top" wrapText="1"/>
    </xf>
    <xf numFmtId="49" fontId="20" fillId="0" borderId="4" xfId="3" quotePrefix="1" applyNumberFormat="1" applyFont="1" applyFill="1" applyBorder="1" applyAlignment="1">
      <alignment horizontal="left" vertical="top" wrapText="1"/>
    </xf>
    <xf numFmtId="49" fontId="7" fillId="0" borderId="40" xfId="3" applyNumberFormat="1" applyFont="1" applyFill="1" applyBorder="1" applyAlignment="1">
      <alignment horizontal="right"/>
    </xf>
    <xf numFmtId="49" fontId="7" fillId="0" borderId="1" xfId="3" applyNumberFormat="1" applyFont="1" applyFill="1" applyBorder="1" applyAlignment="1">
      <alignment horizontal="right"/>
    </xf>
    <xf numFmtId="0" fontId="5" fillId="0" borderId="1" xfId="3" applyNumberFormat="1" applyFont="1" applyBorder="1" applyAlignment="1">
      <alignment horizontal="left" vertical="center"/>
    </xf>
    <xf numFmtId="1" fontId="6" fillId="5" borderId="26" xfId="3" applyNumberFormat="1" applyFont="1" applyFill="1" applyBorder="1" applyAlignment="1">
      <alignment horizontal="right" vertical="top" wrapText="1"/>
    </xf>
    <xf numFmtId="0" fontId="6" fillId="5" borderId="27" xfId="3" applyNumberFormat="1" applyFont="1" applyFill="1" applyBorder="1" applyAlignment="1">
      <alignment horizontal="right" vertical="top" wrapText="1"/>
    </xf>
    <xf numFmtId="49" fontId="20" fillId="0" borderId="9" xfId="3" quotePrefix="1" applyNumberFormat="1" applyFont="1" applyFill="1" applyBorder="1" applyAlignment="1">
      <alignment horizontal="left" vertical="top" wrapText="1"/>
    </xf>
    <xf numFmtId="49" fontId="20" fillId="0" borderId="10" xfId="3" quotePrefix="1" applyNumberFormat="1" applyFont="1" applyFill="1" applyBorder="1" applyAlignment="1">
      <alignment horizontal="left" vertical="top" wrapText="1"/>
    </xf>
    <xf numFmtId="49" fontId="20" fillId="0" borderId="11" xfId="3" quotePrefix="1" applyNumberFormat="1" applyFont="1" applyFill="1" applyBorder="1" applyAlignment="1">
      <alignment horizontal="left" vertical="top" wrapText="1"/>
    </xf>
    <xf numFmtId="0" fontId="22" fillId="5" borderId="27" xfId="3" applyNumberFormat="1" applyFont="1" applyFill="1" applyBorder="1" applyAlignment="1">
      <alignment horizontal="right" vertical="center" shrinkToFit="1"/>
    </xf>
    <xf numFmtId="0" fontId="22" fillId="5" borderId="28" xfId="3" applyNumberFormat="1" applyFont="1" applyFill="1" applyBorder="1" applyAlignment="1">
      <alignment horizontal="right" vertical="center" shrinkToFit="1"/>
    </xf>
    <xf numFmtId="168" fontId="7" fillId="0" borderId="10" xfId="3" quotePrefix="1" applyNumberFormat="1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5" xfId="3" applyNumberFormat="1" applyFont="1" applyBorder="1" applyAlignment="1">
      <alignment horizontal="center" vertical="center"/>
    </xf>
    <xf numFmtId="49" fontId="7" fillId="0" borderId="15" xfId="3" applyNumberFormat="1" applyFont="1" applyBorder="1" applyAlignment="1">
      <alignment horizontal="center" vertical="center"/>
    </xf>
    <xf numFmtId="49" fontId="5" fillId="0" borderId="25" xfId="3" applyNumberFormat="1" applyFont="1" applyBorder="1" applyAlignment="1">
      <alignment horizontal="center" wrapText="1"/>
    </xf>
    <xf numFmtId="49" fontId="5" fillId="0" borderId="23" xfId="3" applyNumberFormat="1" applyFont="1" applyBorder="1" applyAlignment="1">
      <alignment horizontal="center" wrapText="1"/>
    </xf>
    <xf numFmtId="49" fontId="5" fillId="0" borderId="24" xfId="3" applyNumberFormat="1" applyFont="1" applyBorder="1" applyAlignment="1">
      <alignment horizontal="center" wrapText="1"/>
    </xf>
    <xf numFmtId="49" fontId="20" fillId="0" borderId="40" xfId="3" quotePrefix="1" applyNumberFormat="1" applyFont="1" applyFill="1" applyBorder="1" applyAlignment="1">
      <alignment horizontal="left" vertical="center" wrapText="1"/>
    </xf>
    <xf numFmtId="49" fontId="20" fillId="0" borderId="1" xfId="3" quotePrefix="1" applyNumberFormat="1" applyFont="1" applyFill="1" applyBorder="1" applyAlignment="1">
      <alignment horizontal="left" vertical="center" wrapText="1"/>
    </xf>
    <xf numFmtId="49" fontId="20" fillId="0" borderId="4" xfId="3" quotePrefix="1" applyNumberFormat="1" applyFont="1" applyFill="1" applyBorder="1" applyAlignment="1">
      <alignment horizontal="left" vertical="center" wrapText="1"/>
    </xf>
    <xf numFmtId="49" fontId="7" fillId="0" borderId="40" xfId="3" quotePrefix="1" applyNumberFormat="1" applyFont="1" applyFill="1" applyBorder="1" applyAlignment="1">
      <alignment horizontal="left" vertical="center" wrapText="1"/>
    </xf>
    <xf numFmtId="49" fontId="7" fillId="0" borderId="1" xfId="3" quotePrefix="1" applyNumberFormat="1" applyFont="1" applyFill="1" applyBorder="1" applyAlignment="1">
      <alignment horizontal="left" vertical="center" wrapText="1"/>
    </xf>
    <xf numFmtId="0" fontId="12" fillId="0" borderId="1" xfId="3" applyNumberFormat="1" applyFont="1" applyFill="1" applyBorder="1" applyAlignment="1">
      <alignment horizontal="center"/>
    </xf>
    <xf numFmtId="0" fontId="12" fillId="0" borderId="1" xfId="3" quotePrefix="1" applyNumberFormat="1" applyFont="1" applyFill="1" applyBorder="1" applyAlignment="1">
      <alignment horizontal="left" vertical="center" wrapText="1"/>
    </xf>
    <xf numFmtId="49" fontId="12" fillId="0" borderId="1" xfId="3" quotePrefix="1" applyNumberFormat="1" applyFont="1" applyFill="1" applyBorder="1" applyAlignment="1">
      <alignment horizontal="left" vertical="center" wrapText="1"/>
    </xf>
    <xf numFmtId="49" fontId="12" fillId="0" borderId="4" xfId="3" quotePrefix="1" applyNumberFormat="1" applyFont="1" applyFill="1" applyBorder="1" applyAlignment="1">
      <alignment horizontal="left" vertical="center" wrapText="1"/>
    </xf>
    <xf numFmtId="4" fontId="13" fillId="5" borderId="43" xfId="3" quotePrefix="1" applyNumberFormat="1" applyFont="1" applyFill="1" applyBorder="1" applyAlignment="1">
      <alignment horizontal="right" vertical="center" wrapText="1"/>
    </xf>
    <xf numFmtId="49" fontId="6" fillId="2" borderId="3" xfId="3" applyNumberFormat="1" applyFont="1" applyFill="1" applyBorder="1" applyAlignment="1">
      <alignment horizontal="right" vertical="center" wrapText="1"/>
    </xf>
    <xf numFmtId="1" fontId="6" fillId="5" borderId="26" xfId="3" applyNumberFormat="1" applyFont="1" applyFill="1" applyBorder="1" applyAlignment="1">
      <alignment horizontal="center" vertical="center" wrapText="1"/>
    </xf>
    <xf numFmtId="0" fontId="6" fillId="5" borderId="27" xfId="3" applyNumberFormat="1" applyFont="1" applyFill="1" applyBorder="1" applyAlignment="1">
      <alignment horizontal="center" vertical="center" wrapText="1"/>
    </xf>
    <xf numFmtId="2" fontId="6" fillId="5" borderId="23" xfId="3" applyNumberFormat="1" applyFont="1" applyFill="1" applyBorder="1" applyAlignment="1">
      <alignment horizontal="left" vertical="center" wrapText="1"/>
    </xf>
    <xf numFmtId="0" fontId="7" fillId="0" borderId="1" xfId="3" quotePrefix="1" applyNumberFormat="1" applyFont="1" applyFill="1" applyBorder="1" applyAlignment="1">
      <alignment horizontal="left" vertical="center" wrapText="1"/>
    </xf>
    <xf numFmtId="49" fontId="7" fillId="0" borderId="4" xfId="3" quotePrefix="1" applyNumberFormat="1" applyFont="1" applyFill="1" applyBorder="1" applyAlignment="1">
      <alignment horizontal="left" vertical="center" wrapText="1"/>
    </xf>
    <xf numFmtId="1" fontId="6" fillId="5" borderId="21" xfId="3" applyNumberFormat="1" applyFont="1" applyFill="1" applyBorder="1" applyAlignment="1">
      <alignment horizontal="right" vertical="center" wrapText="1"/>
    </xf>
    <xf numFmtId="0" fontId="6" fillId="5" borderId="23" xfId="3" applyNumberFormat="1" applyFont="1" applyFill="1" applyBorder="1" applyAlignment="1">
      <alignment horizontal="right" vertical="center" wrapText="1"/>
    </xf>
    <xf numFmtId="49" fontId="7" fillId="0" borderId="40" xfId="3" quotePrefix="1" applyNumberFormat="1" applyFont="1" applyFill="1" applyBorder="1" applyAlignment="1">
      <alignment horizontal="center" vertical="center" wrapText="1"/>
    </xf>
    <xf numFmtId="49" fontId="7" fillId="0" borderId="1" xfId="3" quotePrefix="1" applyNumberFormat="1" applyFont="1" applyFill="1" applyBorder="1" applyAlignment="1">
      <alignment horizontal="center" vertical="center" wrapText="1"/>
    </xf>
    <xf numFmtId="49" fontId="7" fillId="0" borderId="4" xfId="3" quotePrefix="1" applyNumberFormat="1" applyFont="1" applyFill="1" applyBorder="1" applyAlignment="1">
      <alignment horizontal="center" vertical="center" wrapText="1"/>
    </xf>
    <xf numFmtId="49" fontId="6" fillId="4" borderId="2" xfId="3" quotePrefix="1" applyNumberFormat="1" applyFont="1" applyFill="1" applyBorder="1" applyAlignment="1">
      <alignment horizontal="center" vertical="center" wrapText="1"/>
    </xf>
    <xf numFmtId="49" fontId="6" fillId="4" borderId="3" xfId="3" quotePrefix="1" applyNumberFormat="1" applyFont="1" applyFill="1" applyBorder="1" applyAlignment="1">
      <alignment horizontal="center" vertical="center" wrapText="1"/>
    </xf>
    <xf numFmtId="49" fontId="6" fillId="4" borderId="22" xfId="3" quotePrefix="1" applyNumberFormat="1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left"/>
    </xf>
    <xf numFmtId="0" fontId="14" fillId="0" borderId="1" xfId="3" applyFont="1" applyBorder="1" applyAlignment="1">
      <alignment horizontal="center"/>
    </xf>
    <xf numFmtId="2" fontId="7" fillId="0" borderId="1" xfId="3" applyNumberFormat="1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49" fontId="7" fillId="0" borderId="1" xfId="3" applyNumberFormat="1" applyFont="1" applyBorder="1" applyAlignment="1">
      <alignment horizontal="center"/>
    </xf>
    <xf numFmtId="49" fontId="6" fillId="0" borderId="1" xfId="3" applyNumberFormat="1" applyFont="1" applyBorder="1" applyAlignment="1">
      <alignment horizontal="center"/>
    </xf>
    <xf numFmtId="0" fontId="5" fillId="0" borderId="35" xfId="0" applyFont="1" applyBorder="1" applyAlignment="1">
      <alignment horizontal="center" vertical="center" wrapText="1"/>
    </xf>
    <xf numFmtId="0" fontId="5" fillId="0" borderId="35" xfId="3" applyNumberFormat="1" applyFont="1" applyBorder="1" applyAlignment="1">
      <alignment horizontal="center" vertical="center"/>
    </xf>
    <xf numFmtId="49" fontId="5" fillId="0" borderId="35" xfId="3" applyNumberFormat="1" applyFont="1" applyBorder="1" applyAlignment="1">
      <alignment horizontal="center" vertical="center"/>
    </xf>
    <xf numFmtId="49" fontId="5" fillId="0" borderId="35" xfId="3" applyNumberFormat="1" applyFont="1" applyBorder="1" applyAlignment="1">
      <alignment horizontal="center"/>
    </xf>
    <xf numFmtId="49" fontId="5" fillId="0" borderId="18" xfId="3" applyNumberFormat="1" applyFont="1" applyBorder="1" applyAlignment="1">
      <alignment horizontal="center"/>
    </xf>
    <xf numFmtId="49" fontId="6" fillId="2" borderId="3" xfId="3" applyNumberFormat="1" applyFont="1" applyFill="1" applyBorder="1" applyAlignment="1">
      <alignment horizontal="left" vertical="center" wrapText="1"/>
    </xf>
    <xf numFmtId="49" fontId="6" fillId="2" borderId="22" xfId="3" applyNumberFormat="1" applyFont="1" applyFill="1" applyBorder="1" applyAlignment="1">
      <alignment horizontal="left" vertical="center" wrapText="1"/>
    </xf>
    <xf numFmtId="49" fontId="6" fillId="0" borderId="1" xfId="3" applyNumberFormat="1" applyFont="1" applyBorder="1" applyAlignment="1">
      <alignment horizontal="right"/>
    </xf>
    <xf numFmtId="49" fontId="7" fillId="0" borderId="1" xfId="3" applyNumberFormat="1" applyFont="1" applyBorder="1" applyAlignment="1">
      <alignment horizontal="left"/>
    </xf>
    <xf numFmtId="2" fontId="7" fillId="0" borderId="1" xfId="3" applyNumberFormat="1" applyFont="1" applyBorder="1" applyAlignment="1">
      <alignment horizontal="left"/>
    </xf>
    <xf numFmtId="49" fontId="13" fillId="4" borderId="3" xfId="3" quotePrefix="1" applyNumberFormat="1" applyFont="1" applyFill="1" applyBorder="1" applyAlignment="1">
      <alignment horizontal="center" vertical="center" wrapText="1"/>
    </xf>
    <xf numFmtId="0" fontId="4" fillId="4" borderId="3" xfId="3" applyFont="1" applyFill="1" applyBorder="1" applyAlignment="1">
      <alignment horizontal="center" vertical="center" wrapText="1"/>
    </xf>
    <xf numFmtId="0" fontId="4" fillId="4" borderId="22" xfId="3" applyFont="1" applyFill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left"/>
    </xf>
    <xf numFmtId="0" fontId="5" fillId="0" borderId="17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49" fontId="6" fillId="0" borderId="33" xfId="3" applyNumberFormat="1" applyFont="1" applyBorder="1" applyAlignment="1">
      <alignment horizontal="right" vertical="center"/>
    </xf>
    <xf numFmtId="49" fontId="6" fillId="0" borderId="30" xfId="3" applyNumberFormat="1" applyFont="1" applyBorder="1" applyAlignment="1">
      <alignment horizontal="right" vertical="center"/>
    </xf>
    <xf numFmtId="49" fontId="6" fillId="0" borderId="20" xfId="3" applyNumberFormat="1" applyFont="1" applyBorder="1" applyAlignment="1">
      <alignment horizontal="right" vertical="center"/>
    </xf>
    <xf numFmtId="49" fontId="13" fillId="0" borderId="33" xfId="3" applyNumberFormat="1" applyFont="1" applyBorder="1" applyAlignment="1">
      <alignment horizontal="center" vertical="center"/>
    </xf>
    <xf numFmtId="49" fontId="13" fillId="0" borderId="30" xfId="3" applyNumberFormat="1" applyFont="1" applyBorder="1" applyAlignment="1">
      <alignment horizontal="center" vertical="center"/>
    </xf>
    <xf numFmtId="49" fontId="13" fillId="0" borderId="20" xfId="3" applyNumberFormat="1" applyFont="1" applyBorder="1" applyAlignment="1">
      <alignment horizontal="center" vertical="center"/>
    </xf>
    <xf numFmtId="2" fontId="13" fillId="0" borderId="33" xfId="3" applyNumberFormat="1" applyFont="1" applyBorder="1" applyAlignment="1">
      <alignment horizontal="center" vertical="center" wrapText="1"/>
    </xf>
    <xf numFmtId="2" fontId="13" fillId="0" borderId="30" xfId="3" applyNumberFormat="1" applyFont="1" applyBorder="1" applyAlignment="1">
      <alignment horizontal="center" vertical="center" wrapText="1"/>
    </xf>
    <xf numFmtId="2" fontId="13" fillId="0" borderId="34" xfId="3" applyNumberFormat="1" applyFont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center" vertical="center"/>
    </xf>
    <xf numFmtId="49" fontId="7" fillId="0" borderId="6" xfId="3" applyNumberFormat="1" applyFont="1" applyBorder="1" applyAlignment="1">
      <alignment horizontal="center" vertical="center"/>
    </xf>
    <xf numFmtId="49" fontId="7" fillId="0" borderId="31" xfId="3" applyNumberFormat="1" applyFont="1" applyBorder="1" applyAlignment="1">
      <alignment horizontal="center" vertical="center"/>
    </xf>
    <xf numFmtId="49" fontId="7" fillId="0" borderId="41" xfId="3" applyNumberFormat="1" applyFont="1" applyBorder="1" applyAlignment="1">
      <alignment horizontal="left" vertical="center" wrapText="1"/>
    </xf>
    <xf numFmtId="49" fontId="7" fillId="0" borderId="27" xfId="3" quotePrefix="1" applyNumberFormat="1" applyFont="1" applyBorder="1" applyAlignment="1">
      <alignment horizontal="left" vertical="center" wrapText="1"/>
    </xf>
    <xf numFmtId="49" fontId="7" fillId="0" borderId="19" xfId="3" quotePrefix="1" applyNumberFormat="1" applyFont="1" applyBorder="1" applyAlignment="1">
      <alignment horizontal="left" vertical="center" wrapText="1"/>
    </xf>
    <xf numFmtId="49" fontId="7" fillId="0" borderId="32" xfId="3" applyNumberFormat="1" applyFont="1" applyBorder="1" applyAlignment="1">
      <alignment horizontal="center" vertical="center"/>
    </xf>
    <xf numFmtId="49" fontId="5" fillId="0" borderId="41" xfId="3" applyNumberFormat="1" applyFont="1" applyBorder="1" applyAlignment="1">
      <alignment horizontal="center" vertical="center"/>
    </xf>
    <xf numFmtId="49" fontId="5" fillId="0" borderId="27" xfId="3" applyNumberFormat="1" applyFont="1" applyBorder="1" applyAlignment="1">
      <alignment horizontal="center" vertical="center"/>
    </xf>
    <xf numFmtId="49" fontId="5" fillId="0" borderId="19" xfId="3" applyNumberFormat="1" applyFont="1" applyBorder="1" applyAlignment="1">
      <alignment horizontal="center" vertical="center"/>
    </xf>
    <xf numFmtId="49" fontId="5" fillId="0" borderId="32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7" fillId="0" borderId="48" xfId="3" applyNumberFormat="1" applyFont="1" applyBorder="1" applyAlignment="1">
      <alignment horizontal="center" vertical="center"/>
    </xf>
    <xf numFmtId="49" fontId="7" fillId="0" borderId="45" xfId="3" applyNumberFormat="1" applyFont="1" applyBorder="1" applyAlignment="1">
      <alignment horizontal="center" vertical="center"/>
    </xf>
    <xf numFmtId="49" fontId="7" fillId="0" borderId="47" xfId="3" applyNumberFormat="1" applyFont="1" applyBorder="1" applyAlignment="1">
      <alignment horizontal="center" vertical="center"/>
    </xf>
    <xf numFmtId="49" fontId="7" fillId="0" borderId="32" xfId="3" applyNumberFormat="1" applyFont="1" applyBorder="1" applyAlignment="1">
      <alignment horizontal="left" vertical="center" wrapText="1"/>
    </xf>
    <xf numFmtId="49" fontId="7" fillId="0" borderId="6" xfId="3" applyNumberFormat="1" applyFont="1" applyBorder="1" applyAlignment="1">
      <alignment horizontal="left" vertical="center" wrapText="1"/>
    </xf>
    <xf numFmtId="49" fontId="7" fillId="0" borderId="31" xfId="3" applyNumberFormat="1" applyFont="1" applyBorder="1" applyAlignment="1">
      <alignment horizontal="left" vertical="center" wrapText="1"/>
    </xf>
    <xf numFmtId="49" fontId="7" fillId="0" borderId="46" xfId="3" applyNumberFormat="1" applyFont="1" applyBorder="1" applyAlignment="1">
      <alignment horizontal="left" vertical="center" wrapText="1"/>
    </xf>
    <xf numFmtId="49" fontId="7" fillId="0" borderId="45" xfId="3" applyNumberFormat="1" applyFont="1" applyBorder="1" applyAlignment="1">
      <alignment horizontal="left" vertical="center" wrapText="1"/>
    </xf>
    <xf numFmtId="49" fontId="7" fillId="0" borderId="47" xfId="3" applyNumberFormat="1" applyFont="1" applyBorder="1" applyAlignment="1">
      <alignment horizontal="left" vertical="center" wrapText="1"/>
    </xf>
    <xf numFmtId="166" fontId="5" fillId="0" borderId="32" xfId="3" applyNumberFormat="1" applyFont="1" applyBorder="1" applyAlignment="1">
      <alignment horizontal="center" vertical="center"/>
    </xf>
    <xf numFmtId="166" fontId="5" fillId="0" borderId="6" xfId="3" applyNumberFormat="1" applyFont="1" applyBorder="1" applyAlignment="1">
      <alignment horizontal="center" vertical="center"/>
    </xf>
    <xf numFmtId="166" fontId="5" fillId="0" borderId="31" xfId="3" applyNumberFormat="1" applyFont="1" applyBorder="1" applyAlignment="1">
      <alignment horizontal="center" vertical="center"/>
    </xf>
    <xf numFmtId="49" fontId="7" fillId="0" borderId="36" xfId="3" applyNumberFormat="1" applyFont="1" applyBorder="1" applyAlignment="1">
      <alignment horizontal="center" vertical="center"/>
    </xf>
    <xf numFmtId="49" fontId="7" fillId="0" borderId="1" xfId="3" applyNumberFormat="1" applyFont="1" applyBorder="1" applyAlignment="1">
      <alignment horizontal="center" vertical="center"/>
    </xf>
    <xf numFmtId="49" fontId="7" fillId="0" borderId="37" xfId="3" applyNumberFormat="1" applyFont="1" applyBorder="1" applyAlignment="1">
      <alignment horizontal="center" vertical="center"/>
    </xf>
    <xf numFmtId="166" fontId="5" fillId="0" borderId="46" xfId="3" applyNumberFormat="1" applyFont="1" applyBorder="1" applyAlignment="1">
      <alignment horizontal="center" vertical="center"/>
    </xf>
    <xf numFmtId="166" fontId="5" fillId="0" borderId="45" xfId="3" applyNumberFormat="1" applyFont="1" applyBorder="1" applyAlignment="1">
      <alignment horizontal="center" vertical="center"/>
    </xf>
    <xf numFmtId="166" fontId="5" fillId="0" borderId="47" xfId="3" applyNumberFormat="1" applyFont="1" applyBorder="1" applyAlignment="1">
      <alignment horizontal="center" vertical="center"/>
    </xf>
    <xf numFmtId="49" fontId="5" fillId="0" borderId="36" xfId="3" applyNumberFormat="1" applyFont="1" applyBorder="1" applyAlignment="1">
      <alignment horizontal="center" vertical="center"/>
    </xf>
    <xf numFmtId="49" fontId="5" fillId="0" borderId="1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6" fillId="4" borderId="8" xfId="3" applyNumberFormat="1" applyFont="1" applyFill="1" applyBorder="1" applyAlignment="1">
      <alignment horizontal="center" vertical="center"/>
    </xf>
    <xf numFmtId="49" fontId="6" fillId="4" borderId="8" xfId="3" applyNumberFormat="1" applyFont="1" applyFill="1" applyBorder="1" applyAlignment="1">
      <alignment horizontal="center" vertical="center" wrapText="1"/>
    </xf>
    <xf numFmtId="49" fontId="13" fillId="4" borderId="2" xfId="3" applyNumberFormat="1" applyFont="1" applyFill="1" applyBorder="1" applyAlignment="1">
      <alignment horizontal="center" vertical="center" wrapText="1"/>
    </xf>
    <xf numFmtId="49" fontId="13" fillId="4" borderId="3" xfId="3" applyNumberFormat="1" applyFont="1" applyFill="1" applyBorder="1" applyAlignment="1">
      <alignment horizontal="center" vertical="center" wrapText="1"/>
    </xf>
    <xf numFmtId="49" fontId="13" fillId="4" borderId="22" xfId="3" applyNumberFormat="1" applyFont="1" applyFill="1" applyBorder="1" applyAlignment="1">
      <alignment horizontal="center" vertical="center" wrapText="1"/>
    </xf>
    <xf numFmtId="9" fontId="5" fillId="0" borderId="1" xfId="3" applyNumberFormat="1" applyFont="1" applyBorder="1" applyAlignment="1">
      <alignment horizontal="left" vertical="center"/>
    </xf>
    <xf numFmtId="2" fontId="5" fillId="0" borderId="1" xfId="3" applyNumberFormat="1" applyFont="1" applyBorder="1" applyAlignment="1">
      <alignment horizontal="left" vertical="center"/>
    </xf>
    <xf numFmtId="49" fontId="5" fillId="0" borderId="1" xfId="3" applyNumberFormat="1" applyFont="1" applyFill="1" applyBorder="1" applyAlignment="1">
      <alignment horizontal="right" vertical="center"/>
    </xf>
    <xf numFmtId="0" fontId="5" fillId="0" borderId="1" xfId="3" applyNumberFormat="1" applyFont="1" applyFill="1" applyBorder="1" applyAlignment="1">
      <alignment horizontal="right" vertical="center"/>
    </xf>
    <xf numFmtId="0" fontId="5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49" fontId="9" fillId="0" borderId="1" xfId="3" applyNumberFormat="1" applyFont="1" applyBorder="1" applyAlignment="1">
      <alignment horizontal="right"/>
    </xf>
    <xf numFmtId="49" fontId="7" fillId="0" borderId="1" xfId="3" applyNumberFormat="1" applyFont="1" applyBorder="1" applyAlignment="1">
      <alignment horizontal="left" vertical="center"/>
    </xf>
    <xf numFmtId="49" fontId="7" fillId="0" borderId="10" xfId="3" applyNumberFormat="1" applyFont="1" applyBorder="1" applyAlignment="1">
      <alignment horizontal="center"/>
    </xf>
    <xf numFmtId="49" fontId="5" fillId="0" borderId="1" xfId="3" applyNumberFormat="1" applyFont="1" applyBorder="1" applyAlignment="1">
      <alignment horizontal="left"/>
    </xf>
    <xf numFmtId="0" fontId="13" fillId="8" borderId="8" xfId="0" applyFont="1" applyFill="1" applyBorder="1" applyAlignment="1">
      <alignment horizontal="center" vertical="center"/>
    </xf>
    <xf numFmtId="49" fontId="6" fillId="8" borderId="8" xfId="3" applyNumberFormat="1" applyFont="1" applyFill="1" applyBorder="1" applyAlignment="1">
      <alignment horizontal="center" vertical="center" wrapText="1"/>
    </xf>
    <xf numFmtId="49" fontId="13" fillId="8" borderId="8" xfId="3" applyNumberFormat="1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center" vertical="center" wrapText="1"/>
    </xf>
    <xf numFmtId="3" fontId="7" fillId="0" borderId="50" xfId="3" applyNumberFormat="1" applyFont="1" applyBorder="1" applyAlignment="1">
      <alignment horizontal="center" vertical="center"/>
    </xf>
    <xf numFmtId="49" fontId="5" fillId="0" borderId="46" xfId="3" applyNumberFormat="1" applyFont="1" applyBorder="1" applyAlignment="1">
      <alignment horizontal="center" vertical="center" wrapText="1"/>
    </xf>
    <xf numFmtId="49" fontId="5" fillId="0" borderId="45" xfId="3" applyNumberFormat="1" applyFont="1" applyBorder="1" applyAlignment="1">
      <alignment horizontal="center" vertical="center" wrapText="1"/>
    </xf>
    <xf numFmtId="49" fontId="5" fillId="0" borderId="49" xfId="3" applyNumberFormat="1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/>
    </xf>
    <xf numFmtId="49" fontId="7" fillId="0" borderId="1" xfId="3" applyNumberFormat="1" applyFont="1" applyBorder="1" applyAlignment="1">
      <alignment horizontal="center" wrapText="1"/>
    </xf>
    <xf numFmtId="0" fontId="10" fillId="0" borderId="6" xfId="3" applyFont="1" applyBorder="1" applyAlignment="1">
      <alignment horizontal="center" vertical="top"/>
    </xf>
    <xf numFmtId="0" fontId="7" fillId="0" borderId="10" xfId="3" applyFont="1" applyBorder="1" applyAlignment="1">
      <alignment horizontal="center"/>
    </xf>
    <xf numFmtId="0" fontId="13" fillId="4" borderId="3" xfId="0" applyFont="1" applyFill="1" applyBorder="1" applyAlignment="1">
      <alignment horizontal="left" wrapText="1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Финансовый 2" xfId="2" xr:uid="{00000000-0005-0000-0000-000003000000}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74544</xdr:colOff>
      <xdr:row>1</xdr:row>
      <xdr:rowOff>149088</xdr:rowOff>
    </xdr:from>
    <xdr:to>
      <xdr:col>1</xdr:col>
      <xdr:colOff>1896718</xdr:colOff>
      <xdr:row>4</xdr:row>
      <xdr:rowOff>273326</xdr:rowOff>
    </xdr:to>
    <xdr:sp macro="" textlink="">
      <xdr:nvSpPr>
        <xdr:cNvPr id="3" name="Стрелка: вправо 2" descr="период выпонения ">
          <a:extLst>
            <a:ext uri="{FF2B5EF4-FFF2-40B4-BE49-F238E27FC236}">
              <a16:creationId xmlns:a16="http://schemas.microsoft.com/office/drawing/2014/main" id="{A034DA4D-42C0-4237-AD32-8F2944A49DAE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SpPr/>
      </xdr:nvSpPr>
      <xdr:spPr>
        <a:xfrm>
          <a:off x="74544" y="571501"/>
          <a:ext cx="2054087" cy="88623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bg1"/>
              </a:solidFill>
            </a:rPr>
            <a:t>период выполнения  который меняется</a:t>
          </a:r>
          <a:endParaRPr lang="LID4096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723899</xdr:colOff>
      <xdr:row>5</xdr:row>
      <xdr:rowOff>218661</xdr:rowOff>
    </xdr:from>
    <xdr:to>
      <xdr:col>4</xdr:col>
      <xdr:colOff>334616</xdr:colOff>
      <xdr:row>9</xdr:row>
      <xdr:rowOff>11595</xdr:rowOff>
    </xdr:to>
    <xdr:sp macro="" textlink="">
      <xdr:nvSpPr>
        <xdr:cNvPr id="4" name="Стрелка: вправо 3" descr="период выпонения ">
          <a:extLst>
            <a:ext uri="{FF2B5EF4-FFF2-40B4-BE49-F238E27FC236}">
              <a16:creationId xmlns:a16="http://schemas.microsoft.com/office/drawing/2014/main" id="{A034DA4D-42C0-4237-AD32-8F2944A49DAE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SpPr/>
      </xdr:nvSpPr>
      <xdr:spPr>
        <a:xfrm>
          <a:off x="955812" y="1709531"/>
          <a:ext cx="2054087" cy="88623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ru-RU" sz="1100">
              <a:solidFill>
                <a:schemeClr val="bg1"/>
              </a:solidFill>
            </a:rPr>
            <a:t>произведение индексов от июля 2023 по дату начала</a:t>
          </a:r>
          <a:endParaRPr lang="LID4096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1954696</xdr:colOff>
      <xdr:row>2</xdr:row>
      <xdr:rowOff>99392</xdr:rowOff>
    </xdr:from>
    <xdr:to>
      <xdr:col>5</xdr:col>
      <xdr:colOff>8282</xdr:colOff>
      <xdr:row>4</xdr:row>
      <xdr:rowOff>66261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1565BFE8-AFE4-4166-B720-A53B161C0BEB}"/>
            </a:ext>
          </a:extLst>
        </xdr:cNvPr>
        <xdr:cNvSpPr/>
      </xdr:nvSpPr>
      <xdr:spPr>
        <a:xfrm>
          <a:off x="2186609" y="811696"/>
          <a:ext cx="877956" cy="43897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ID4096" sz="1100"/>
        </a:p>
      </xdr:txBody>
    </xdr:sp>
    <xdr:clientData/>
  </xdr:twoCellAnchor>
  <xdr:twoCellAnchor>
    <xdr:from>
      <xdr:col>4</xdr:col>
      <xdr:colOff>301487</xdr:colOff>
      <xdr:row>6</xdr:row>
      <xdr:rowOff>110988</xdr:rowOff>
    </xdr:from>
    <xdr:to>
      <xdr:col>6</xdr:col>
      <xdr:colOff>33130</xdr:colOff>
      <xdr:row>8</xdr:row>
      <xdr:rowOff>69575</xdr:rowOff>
    </xdr:to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3DF2A78B-F42F-4D93-B203-B96C2FB6E4C2}"/>
            </a:ext>
          </a:extLst>
        </xdr:cNvPr>
        <xdr:cNvSpPr/>
      </xdr:nvSpPr>
      <xdr:spPr>
        <a:xfrm>
          <a:off x="2976770" y="1908314"/>
          <a:ext cx="468795" cy="43897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ID4096" sz="1100"/>
        </a:p>
      </xdr:txBody>
    </xdr:sp>
    <xdr:clientData/>
  </xdr:twoCellAnchor>
  <xdr:twoCellAnchor>
    <xdr:from>
      <xdr:col>5</xdr:col>
      <xdr:colOff>304800</xdr:colOff>
      <xdr:row>8</xdr:row>
      <xdr:rowOff>221975</xdr:rowOff>
    </xdr:from>
    <xdr:to>
      <xdr:col>7</xdr:col>
      <xdr:colOff>61291</xdr:colOff>
      <xdr:row>10</xdr:row>
      <xdr:rowOff>48040</xdr:rowOff>
    </xdr:to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E1C5175E-A636-4D83-9C6B-0452BAE6A14D}"/>
            </a:ext>
          </a:extLst>
        </xdr:cNvPr>
        <xdr:cNvSpPr/>
      </xdr:nvSpPr>
      <xdr:spPr>
        <a:xfrm>
          <a:off x="3361083" y="2499692"/>
          <a:ext cx="468795" cy="43897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ID4096" sz="1100"/>
        </a:p>
      </xdr:txBody>
    </xdr:sp>
    <xdr:clientData/>
  </xdr:twoCellAnchor>
  <xdr:twoCellAnchor>
    <xdr:from>
      <xdr:col>1</xdr:col>
      <xdr:colOff>745436</xdr:colOff>
      <xdr:row>8</xdr:row>
      <xdr:rowOff>97735</xdr:rowOff>
    </xdr:from>
    <xdr:to>
      <xdr:col>5</xdr:col>
      <xdr:colOff>271670</xdr:colOff>
      <xdr:row>12</xdr:row>
      <xdr:rowOff>49695</xdr:rowOff>
    </xdr:to>
    <xdr:sp macro="" textlink="">
      <xdr:nvSpPr>
        <xdr:cNvPr id="8" name="Стрелка: вправо 7" descr="период выпонения ">
          <a:extLst>
            <a:ext uri="{FF2B5EF4-FFF2-40B4-BE49-F238E27FC236}">
              <a16:creationId xmlns:a16="http://schemas.microsoft.com/office/drawing/2014/main" id="{05BDE07B-DFDE-44D9-B0D0-7140452C6AE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SpPr/>
      </xdr:nvSpPr>
      <xdr:spPr>
        <a:xfrm>
          <a:off x="977349" y="2375452"/>
          <a:ext cx="2350604" cy="10452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ru-RU" sz="1100">
              <a:solidFill>
                <a:schemeClr val="bg1"/>
              </a:solidFill>
            </a:rPr>
            <a:t>произведение индексов от даты начала выполнения до окончания</a:t>
          </a:r>
          <a:endParaRPr lang="LID4096" sz="11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323023</xdr:colOff>
      <xdr:row>0</xdr:row>
      <xdr:rowOff>321365</xdr:rowOff>
    </xdr:from>
    <xdr:to>
      <xdr:col>14</xdr:col>
      <xdr:colOff>132522</xdr:colOff>
      <xdr:row>2</xdr:row>
      <xdr:rowOff>48039</xdr:rowOff>
    </xdr:to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3DF2A78B-F42F-4D93-B203-B96C2FB6E4C2}"/>
            </a:ext>
          </a:extLst>
        </xdr:cNvPr>
        <xdr:cNvSpPr/>
      </xdr:nvSpPr>
      <xdr:spPr>
        <a:xfrm>
          <a:off x="3735458" y="321365"/>
          <a:ext cx="2658716" cy="43897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LID4096" sz="1100"/>
        </a:p>
      </xdr:txBody>
    </xdr:sp>
    <xdr:clientData/>
  </xdr:twoCellAnchor>
  <xdr:twoCellAnchor>
    <xdr:from>
      <xdr:col>6</xdr:col>
      <xdr:colOff>306456</xdr:colOff>
      <xdr:row>12</xdr:row>
      <xdr:rowOff>255104</xdr:rowOff>
    </xdr:from>
    <xdr:to>
      <xdr:col>12</xdr:col>
      <xdr:colOff>49694</xdr:colOff>
      <xdr:row>14</xdr:row>
      <xdr:rowOff>81169</xdr:rowOff>
    </xdr:to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1565BFE8-AFE4-4166-B720-A53B161C0BEB}"/>
            </a:ext>
          </a:extLst>
        </xdr:cNvPr>
        <xdr:cNvSpPr/>
      </xdr:nvSpPr>
      <xdr:spPr>
        <a:xfrm>
          <a:off x="3718891" y="3626126"/>
          <a:ext cx="1880151" cy="43897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LID4096" sz="1100"/>
        </a:p>
      </xdr:txBody>
    </xdr:sp>
    <xdr:clientData/>
  </xdr:twoCellAnchor>
  <xdr:twoCellAnchor>
    <xdr:from>
      <xdr:col>1</xdr:col>
      <xdr:colOff>646045</xdr:colOff>
      <xdr:row>12</xdr:row>
      <xdr:rowOff>24846</xdr:rowOff>
    </xdr:from>
    <xdr:to>
      <xdr:col>6</xdr:col>
      <xdr:colOff>198783</xdr:colOff>
      <xdr:row>15</xdr:row>
      <xdr:rowOff>281607</xdr:rowOff>
    </xdr:to>
    <xdr:sp macro="" textlink="">
      <xdr:nvSpPr>
        <xdr:cNvPr id="12" name="Стрелка: вправо 11" descr="период выпонения ">
          <a:extLst>
            <a:ext uri="{FF2B5EF4-FFF2-40B4-BE49-F238E27FC236}">
              <a16:creationId xmlns:a16="http://schemas.microsoft.com/office/drawing/2014/main" id="{A034DA4D-42C0-4237-AD32-8F2944A49DAE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SpPr/>
      </xdr:nvSpPr>
      <xdr:spPr>
        <a:xfrm>
          <a:off x="877958" y="3395868"/>
          <a:ext cx="2733260" cy="104360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ru-RU" sz="1100">
              <a:solidFill>
                <a:schemeClr val="bg1"/>
              </a:solidFill>
            </a:rPr>
            <a:t>значения которые автоматически появляются в зависимости от периода</a:t>
          </a:r>
          <a:r>
            <a:rPr lang="ru-RU" sz="1100" baseline="0">
              <a:solidFill>
                <a:schemeClr val="bg1"/>
              </a:solidFill>
            </a:rPr>
            <a:t> выполнения</a:t>
          </a:r>
          <a:r>
            <a:rPr lang="ru-RU" sz="1100">
              <a:solidFill>
                <a:schemeClr val="bg1"/>
              </a:solidFill>
            </a:rPr>
            <a:t> до его периода</a:t>
          </a:r>
          <a:endParaRPr lang="LID4096" sz="11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298173</xdr:colOff>
      <xdr:row>14</xdr:row>
      <xdr:rowOff>147430</xdr:rowOff>
    </xdr:from>
    <xdr:to>
      <xdr:col>17</xdr:col>
      <xdr:colOff>107674</xdr:colOff>
      <xdr:row>16</xdr:row>
      <xdr:rowOff>6626</xdr:rowOff>
    </xdr:to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3DF2A78B-F42F-4D93-B203-B96C2FB6E4C2}"/>
            </a:ext>
          </a:extLst>
        </xdr:cNvPr>
        <xdr:cNvSpPr/>
      </xdr:nvSpPr>
      <xdr:spPr>
        <a:xfrm>
          <a:off x="5847521" y="4131365"/>
          <a:ext cx="1590262" cy="43897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LID4096" sz="1100"/>
        </a:p>
      </xdr:txBody>
    </xdr:sp>
    <xdr:clientData/>
  </xdr:twoCellAnchor>
  <xdr:twoCellAnchor>
    <xdr:from>
      <xdr:col>5</xdr:col>
      <xdr:colOff>8281</xdr:colOff>
      <xdr:row>14</xdr:row>
      <xdr:rowOff>56321</xdr:rowOff>
    </xdr:from>
    <xdr:to>
      <xdr:col>12</xdr:col>
      <xdr:colOff>248476</xdr:colOff>
      <xdr:row>18</xdr:row>
      <xdr:rowOff>56322</xdr:rowOff>
    </xdr:to>
    <xdr:sp macro="" textlink="">
      <xdr:nvSpPr>
        <xdr:cNvPr id="14" name="Стрелка: вправо 13" descr="период выпонения ">
          <a:extLst>
            <a:ext uri="{FF2B5EF4-FFF2-40B4-BE49-F238E27FC236}">
              <a16:creationId xmlns:a16="http://schemas.microsoft.com/office/drawing/2014/main" id="{A034DA4D-42C0-4237-AD32-8F2944A49DAE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SpPr/>
      </xdr:nvSpPr>
      <xdr:spPr>
        <a:xfrm>
          <a:off x="3064564" y="4040256"/>
          <a:ext cx="2733260" cy="104360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ru-RU" sz="1100">
              <a:solidFill>
                <a:schemeClr val="bg1"/>
              </a:solidFill>
            </a:rPr>
            <a:t>значения которые автоматически появляются в зависимости от периода</a:t>
          </a:r>
          <a:r>
            <a:rPr lang="ru-RU" sz="1100" baseline="0">
              <a:solidFill>
                <a:schemeClr val="bg1"/>
              </a:solidFill>
            </a:rPr>
            <a:t> выполнения</a:t>
          </a:r>
          <a:r>
            <a:rPr lang="ru-RU" sz="1100">
              <a:solidFill>
                <a:schemeClr val="bg1"/>
              </a:solidFill>
            </a:rPr>
            <a:t> </a:t>
          </a:r>
          <a:endParaRPr lang="LID4096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DB319"/>
  <sheetViews>
    <sheetView view="pageBreakPreview" topLeftCell="A274" zoomScale="145" zoomScaleNormal="145" zoomScaleSheetLayoutView="145" workbookViewId="0">
      <selection activeCell="BK324" sqref="BK324"/>
    </sheetView>
  </sheetViews>
  <sheetFormatPr defaultRowHeight="12" customHeight="1" x14ac:dyDescent="0.2"/>
  <cols>
    <col min="1" max="42" width="1.42578125" style="1" customWidth="1"/>
    <col min="43" max="60" width="1.42578125" style="13" customWidth="1"/>
    <col min="61" max="61" width="1.42578125" style="1" customWidth="1"/>
    <col min="62" max="63" width="4.42578125" style="3" customWidth="1"/>
    <col min="64" max="64" width="7.28515625" style="3" customWidth="1"/>
    <col min="65" max="69" width="3.7109375" style="3" customWidth="1"/>
    <col min="70" max="16384" width="9.140625" style="3"/>
  </cols>
  <sheetData>
    <row r="2" spans="1:62" s="5" customFormat="1" ht="7.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60" t="s">
        <v>47</v>
      </c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"/>
    </row>
    <row r="4" spans="1:62" ht="12" customHeight="1" x14ac:dyDescent="0.2">
      <c r="D4" s="402" t="s">
        <v>48</v>
      </c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AK4" s="402" t="s">
        <v>49</v>
      </c>
      <c r="AL4" s="402"/>
      <c r="AM4" s="402"/>
      <c r="AN4" s="402"/>
      <c r="AO4" s="402"/>
      <c r="AP4" s="402"/>
      <c r="AQ4" s="402"/>
      <c r="AR4" s="402"/>
      <c r="AS4" s="402"/>
      <c r="AT4" s="402"/>
      <c r="AU4" s="402"/>
      <c r="AV4" s="402"/>
      <c r="AW4" s="402"/>
      <c r="AX4" s="402"/>
      <c r="AY4" s="402"/>
      <c r="AZ4" s="402"/>
      <c r="BA4" s="402"/>
      <c r="BB4" s="402"/>
      <c r="BC4" s="402"/>
      <c r="BD4" s="402"/>
      <c r="BE4" s="402"/>
    </row>
    <row r="5" spans="1:62" ht="12" customHeight="1" x14ac:dyDescent="0.2">
      <c r="D5" s="461" t="s">
        <v>50</v>
      </c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AK5" s="461" t="s">
        <v>51</v>
      </c>
      <c r="AL5" s="461"/>
      <c r="AM5" s="461"/>
      <c r="AN5" s="461"/>
      <c r="AO5" s="461"/>
      <c r="AP5" s="461"/>
      <c r="AQ5" s="461"/>
      <c r="AR5" s="461"/>
      <c r="AS5" s="461"/>
      <c r="AT5" s="461"/>
      <c r="AU5" s="461"/>
      <c r="AV5" s="461"/>
      <c r="AW5" s="461"/>
      <c r="AX5" s="461"/>
      <c r="AY5" s="461"/>
      <c r="AZ5" s="461"/>
      <c r="BA5" s="461"/>
      <c r="BB5" s="461"/>
      <c r="BC5" s="461"/>
      <c r="BD5" s="461"/>
      <c r="BE5" s="461"/>
    </row>
    <row r="6" spans="1:62" ht="12" customHeight="1" x14ac:dyDescent="0.2">
      <c r="AJ6" s="2"/>
      <c r="AK6" s="6"/>
      <c r="AL6" s="6"/>
      <c r="AM6" s="6"/>
      <c r="AN6" s="6"/>
      <c r="AO6" s="6"/>
      <c r="AP6" s="6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</row>
    <row r="7" spans="1:62" ht="12" customHeight="1" x14ac:dyDescent="0.2"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397" t="s">
        <v>52</v>
      </c>
      <c r="O7" s="397"/>
      <c r="P7" s="397"/>
      <c r="Q7" s="397"/>
      <c r="R7" s="397"/>
      <c r="S7" s="397"/>
      <c r="T7" s="397"/>
      <c r="U7" s="397"/>
      <c r="V7" s="397"/>
      <c r="W7" s="397"/>
      <c r="X7" s="397"/>
      <c r="AK7" s="462"/>
      <c r="AL7" s="462"/>
      <c r="AM7" s="462"/>
      <c r="AN7" s="462"/>
      <c r="AO7" s="462"/>
      <c r="AP7" s="462"/>
      <c r="AQ7" s="462"/>
      <c r="AR7" s="462"/>
      <c r="AS7" s="462"/>
      <c r="AT7" s="462"/>
      <c r="AU7" s="463" t="s">
        <v>52</v>
      </c>
      <c r="AV7" s="463"/>
      <c r="AW7" s="463"/>
      <c r="AX7" s="463"/>
      <c r="AY7" s="463"/>
      <c r="AZ7" s="463"/>
      <c r="BA7" s="463"/>
      <c r="BB7" s="463"/>
      <c r="BC7" s="463"/>
      <c r="BD7" s="463"/>
      <c r="BE7" s="463"/>
    </row>
    <row r="8" spans="1:62" ht="12" customHeight="1" x14ac:dyDescent="0.2">
      <c r="D8" s="476" t="s">
        <v>53</v>
      </c>
      <c r="E8" s="476"/>
      <c r="F8" s="476"/>
      <c r="G8" s="476"/>
      <c r="H8" s="476"/>
      <c r="I8" s="476"/>
      <c r="J8" s="476"/>
      <c r="K8" s="476"/>
      <c r="L8" s="476"/>
      <c r="M8" s="476"/>
      <c r="N8" s="3"/>
      <c r="O8" s="3"/>
      <c r="P8" s="3"/>
      <c r="Q8" s="3"/>
      <c r="R8" s="3"/>
      <c r="S8" s="3"/>
      <c r="T8" s="3"/>
      <c r="U8" s="3"/>
      <c r="AK8" s="476" t="s">
        <v>53</v>
      </c>
      <c r="AL8" s="476"/>
      <c r="AM8" s="476"/>
      <c r="AN8" s="476"/>
      <c r="AO8" s="476"/>
      <c r="AP8" s="476"/>
      <c r="AQ8" s="476"/>
      <c r="AR8" s="476"/>
      <c r="AS8" s="476"/>
      <c r="AT8" s="476"/>
    </row>
    <row r="9" spans="1:62" ht="12" customHeight="1" x14ac:dyDescent="0.2">
      <c r="D9" s="7" t="s">
        <v>54</v>
      </c>
      <c r="E9" s="477"/>
      <c r="F9" s="477"/>
      <c r="G9" s="1" t="s">
        <v>54</v>
      </c>
      <c r="H9" s="462"/>
      <c r="I9" s="462"/>
      <c r="J9" s="462"/>
      <c r="K9" s="462"/>
      <c r="L9" s="462"/>
      <c r="M9" s="462"/>
      <c r="O9" s="477"/>
      <c r="P9" s="477"/>
      <c r="Q9" s="477"/>
      <c r="R9" s="1" t="s">
        <v>55</v>
      </c>
      <c r="S9" s="3"/>
      <c r="AK9" s="7" t="s">
        <v>54</v>
      </c>
      <c r="AL9" s="477"/>
      <c r="AM9" s="477"/>
      <c r="AN9" s="1" t="s">
        <v>54</v>
      </c>
      <c r="AO9" s="462"/>
      <c r="AP9" s="462"/>
      <c r="AQ9" s="462"/>
      <c r="AR9" s="462"/>
      <c r="AS9" s="462"/>
      <c r="AT9" s="462"/>
      <c r="AV9" s="474"/>
      <c r="AW9" s="474"/>
      <c r="AX9" s="474"/>
      <c r="AY9" s="13" t="s">
        <v>55</v>
      </c>
      <c r="AZ9" s="14"/>
    </row>
    <row r="12" spans="1:62" ht="12" customHeight="1" x14ac:dyDescent="0.2">
      <c r="A12" s="396" t="s">
        <v>277</v>
      </c>
      <c r="B12" s="396"/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396"/>
      <c r="AB12" s="396"/>
      <c r="AC12" s="396"/>
      <c r="AD12" s="396"/>
      <c r="AE12" s="396"/>
      <c r="AF12" s="397" t="s">
        <v>62</v>
      </c>
      <c r="AG12" s="397"/>
      <c r="AH12" s="397"/>
      <c r="AI12" s="397"/>
      <c r="AJ12" s="397"/>
      <c r="AK12" s="397"/>
      <c r="AL12" s="397"/>
      <c r="AM12" s="397"/>
      <c r="AN12" s="397"/>
      <c r="AO12" s="397"/>
      <c r="AP12" s="397"/>
      <c r="AQ12" s="397"/>
      <c r="AR12" s="397"/>
      <c r="AS12" s="397"/>
      <c r="AT12" s="397"/>
      <c r="AU12" s="397"/>
      <c r="AV12" s="397"/>
      <c r="AW12" s="397"/>
      <c r="AX12" s="397"/>
      <c r="AY12" s="397"/>
      <c r="AZ12" s="397"/>
      <c r="BA12" s="397"/>
      <c r="BB12" s="397"/>
      <c r="BC12" s="397"/>
      <c r="BD12" s="397"/>
      <c r="BE12" s="397"/>
      <c r="BF12" s="397"/>
      <c r="BG12" s="397"/>
      <c r="BH12" s="397"/>
      <c r="BJ12" s="8">
        <v>235.39</v>
      </c>
    </row>
    <row r="13" spans="1:62" ht="24" customHeight="1" x14ac:dyDescent="0.2">
      <c r="A13" s="475" t="s">
        <v>80</v>
      </c>
      <c r="B13" s="475"/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</row>
    <row r="15" spans="1:62" ht="12" customHeight="1" x14ac:dyDescent="0.2">
      <c r="A15" s="396" t="s">
        <v>56</v>
      </c>
      <c r="B15" s="396"/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7" t="s">
        <v>29</v>
      </c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397"/>
      <c r="AA15" s="397"/>
      <c r="AB15" s="397"/>
      <c r="AC15" s="397"/>
      <c r="AD15" s="397"/>
      <c r="AE15" s="397"/>
      <c r="AF15" s="397"/>
      <c r="AG15" s="397"/>
      <c r="AH15" s="397"/>
      <c r="AI15" s="397"/>
      <c r="AJ15" s="397"/>
      <c r="AK15" s="397"/>
      <c r="AL15" s="397"/>
      <c r="AM15" s="397"/>
      <c r="AN15" s="397"/>
      <c r="AO15" s="397"/>
      <c r="AP15" s="397"/>
      <c r="AQ15" s="397"/>
      <c r="AR15" s="397"/>
      <c r="AS15" s="397"/>
      <c r="AT15" s="397"/>
      <c r="AU15" s="397"/>
      <c r="AV15" s="397"/>
      <c r="AW15" s="397"/>
      <c r="AX15" s="397"/>
      <c r="AY15" s="397"/>
      <c r="AZ15" s="397"/>
      <c r="BA15" s="397"/>
      <c r="BB15" s="397"/>
      <c r="BC15" s="397"/>
      <c r="BD15" s="397"/>
      <c r="BE15" s="397"/>
      <c r="BF15" s="397"/>
      <c r="BG15" s="397"/>
      <c r="BH15" s="397"/>
    </row>
    <row r="16" spans="1:62" ht="12" customHeight="1" x14ac:dyDescent="0.2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  <c r="N16" s="3"/>
      <c r="O16" s="3"/>
      <c r="P16" s="3"/>
      <c r="Q16" s="3"/>
      <c r="R16" s="3"/>
      <c r="S16" s="3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</row>
    <row r="17" spans="1:65" ht="12" customHeight="1" x14ac:dyDescent="0.2">
      <c r="A17" s="396" t="s">
        <v>59</v>
      </c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7" t="s">
        <v>87</v>
      </c>
      <c r="R17" s="397"/>
      <c r="S17" s="397"/>
      <c r="T17" s="397"/>
      <c r="U17" s="397"/>
      <c r="V17" s="3"/>
      <c r="W17" s="388" t="s">
        <v>88</v>
      </c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  <c r="AL17" s="388"/>
      <c r="AM17" s="388"/>
      <c r="AN17" s="388"/>
      <c r="AO17" s="398">
        <v>307.7</v>
      </c>
      <c r="AP17" s="398"/>
      <c r="AQ17" s="398"/>
      <c r="AR17" s="398"/>
      <c r="AS17" s="398"/>
      <c r="AT17" s="396" t="s">
        <v>89</v>
      </c>
      <c r="AU17" s="396"/>
      <c r="AV17" s="396"/>
      <c r="AW17" s="396"/>
      <c r="AX17" s="396"/>
      <c r="AY17" s="396"/>
      <c r="AZ17" s="396"/>
      <c r="BA17" s="396"/>
      <c r="BB17" s="396"/>
      <c r="BC17" s="387" t="s">
        <v>90</v>
      </c>
      <c r="BD17" s="387"/>
      <c r="BE17" s="387"/>
      <c r="BF17" s="387"/>
      <c r="BG17" s="387"/>
      <c r="BH17" s="387"/>
    </row>
    <row r="18" spans="1:65" ht="12" hidden="1" customHeight="1" x14ac:dyDescent="0.25">
      <c r="A18" s="396" t="s">
        <v>85</v>
      </c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87" t="s">
        <v>86</v>
      </c>
      <c r="O18" s="387"/>
      <c r="P18" s="387"/>
      <c r="Q18" s="387"/>
      <c r="R18" s="387"/>
      <c r="S18" s="387"/>
      <c r="T18" s="45"/>
      <c r="U18" s="396" t="s">
        <v>92</v>
      </c>
      <c r="V18" s="396"/>
      <c r="W18" s="19" t="s">
        <v>28</v>
      </c>
      <c r="X18" s="384" t="s">
        <v>94</v>
      </c>
      <c r="Y18" s="384"/>
      <c r="Z18" s="384"/>
      <c r="AA18" s="384"/>
      <c r="AB18" s="384"/>
      <c r="AC18" s="384"/>
      <c r="AD18" s="384"/>
      <c r="AE18" s="384"/>
      <c r="AF18" s="384"/>
      <c r="AG18" s="384"/>
      <c r="AH18" s="384"/>
      <c r="AI18" s="384"/>
      <c r="AJ18" s="384"/>
      <c r="AK18" s="48" t="s">
        <v>28</v>
      </c>
      <c r="AL18" s="384">
        <f>1.0067 * 1.0067 * 1.0067 * 1.0067</f>
        <v>1.0270705450671118</v>
      </c>
      <c r="AM18" s="384"/>
      <c r="AN18" s="384"/>
      <c r="AO18" s="48"/>
      <c r="AP18" s="3"/>
      <c r="AQ18" s="396" t="s">
        <v>93</v>
      </c>
      <c r="AR18" s="396"/>
      <c r="AS18" s="396"/>
      <c r="AT18" s="3" t="s">
        <v>28</v>
      </c>
      <c r="AU18" s="385">
        <f>$AO$17</f>
        <v>307.7</v>
      </c>
      <c r="AV18" s="385"/>
      <c r="AW18" s="385"/>
      <c r="AX18" s="385"/>
      <c r="AY18" s="44" t="s">
        <v>91</v>
      </c>
      <c r="AZ18" s="386">
        <f>AL18</f>
        <v>1.0270705450671118</v>
      </c>
      <c r="BA18" s="386"/>
      <c r="BB18" s="386"/>
      <c r="BC18" s="386"/>
      <c r="BD18" s="3" t="s">
        <v>28</v>
      </c>
      <c r="BE18" s="387">
        <f>AZ18*AU18</f>
        <v>316.02960671715027</v>
      </c>
      <c r="BF18" s="386"/>
      <c r="BG18" s="386"/>
      <c r="BH18" s="386"/>
    </row>
    <row r="19" spans="1:65" ht="12" hidden="1" customHeight="1" x14ac:dyDescent="0.25">
      <c r="A19" s="388" t="s">
        <v>98</v>
      </c>
      <c r="B19" s="388"/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7" t="s">
        <v>96</v>
      </c>
      <c r="O19" s="387"/>
      <c r="P19" s="387"/>
      <c r="Q19" s="387"/>
      <c r="R19" s="387"/>
      <c r="S19" s="387"/>
      <c r="T19" s="388" t="s">
        <v>95</v>
      </c>
      <c r="U19" s="388"/>
      <c r="V19" s="388"/>
      <c r="W19" s="19" t="s">
        <v>28</v>
      </c>
      <c r="X19" s="383" t="s">
        <v>97</v>
      </c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48" t="s">
        <v>28</v>
      </c>
      <c r="AL19" s="384">
        <f>1.0067 * 1.0067</f>
        <v>1.0134448899999999</v>
      </c>
      <c r="AM19" s="384"/>
      <c r="AN19" s="384"/>
      <c r="AO19" s="48"/>
      <c r="AP19" s="388" t="s">
        <v>99</v>
      </c>
      <c r="AQ19" s="388"/>
      <c r="AR19" s="388"/>
      <c r="AS19" s="388"/>
      <c r="AT19" s="3" t="s">
        <v>28</v>
      </c>
      <c r="AU19" s="385">
        <f>$AO$17</f>
        <v>307.7</v>
      </c>
      <c r="AV19" s="385"/>
      <c r="AW19" s="385"/>
      <c r="AX19" s="385"/>
      <c r="AY19" s="44" t="s">
        <v>91</v>
      </c>
      <c r="AZ19" s="386">
        <f>AL19</f>
        <v>1.0134448899999999</v>
      </c>
      <c r="BA19" s="386"/>
      <c r="BB19" s="386"/>
      <c r="BC19" s="386"/>
      <c r="BD19" s="3" t="s">
        <v>28</v>
      </c>
      <c r="BE19" s="387">
        <f>AZ19*AU19</f>
        <v>311.83699265299998</v>
      </c>
      <c r="BF19" s="386"/>
      <c r="BG19" s="386"/>
      <c r="BH19" s="386"/>
    </row>
    <row r="20" spans="1:65" ht="12" hidden="1" customHeight="1" x14ac:dyDescent="0.2">
      <c r="A20" s="396"/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397"/>
      <c r="AI20" s="397"/>
      <c r="AJ20" s="397"/>
      <c r="AK20" s="397"/>
      <c r="AL20" s="397"/>
      <c r="AM20" s="397"/>
      <c r="AN20" s="397"/>
      <c r="AO20" s="397"/>
      <c r="AP20" s="397"/>
      <c r="AQ20" s="397"/>
      <c r="AR20" s="397"/>
      <c r="AS20" s="397"/>
      <c r="AT20" s="397"/>
      <c r="AU20" s="397"/>
      <c r="AV20" s="397"/>
      <c r="AW20" s="397"/>
      <c r="AX20" s="397"/>
      <c r="AY20" s="397"/>
      <c r="AZ20" s="397"/>
      <c r="BA20" s="397"/>
      <c r="BB20" s="397"/>
      <c r="BC20" s="397"/>
      <c r="BD20" s="397"/>
      <c r="BE20" s="397"/>
      <c r="BF20" s="397"/>
      <c r="BG20" s="397"/>
      <c r="BH20" s="397"/>
    </row>
    <row r="21" spans="1:65" ht="12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"/>
      <c r="N21" s="3"/>
      <c r="O21" s="3"/>
      <c r="P21" s="3"/>
      <c r="Q21" s="3"/>
      <c r="R21" s="3"/>
      <c r="S21" s="3"/>
      <c r="T21" s="3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</row>
    <row r="22" spans="1:65" ht="50.25" customHeight="1" x14ac:dyDescent="0.2">
      <c r="A22" s="31"/>
      <c r="B22" s="464" t="s">
        <v>70</v>
      </c>
      <c r="C22" s="464"/>
      <c r="D22" s="464"/>
      <c r="E22" s="464"/>
      <c r="F22" s="464"/>
      <c r="G22" s="464"/>
      <c r="H22" s="464"/>
      <c r="I22" s="464"/>
      <c r="J22" s="464"/>
      <c r="K22" s="464"/>
      <c r="L22" s="464"/>
      <c r="M22" s="464"/>
      <c r="N22" s="464"/>
      <c r="O22" s="464"/>
      <c r="P22" s="464"/>
      <c r="Q22" s="464"/>
      <c r="R22" s="464"/>
      <c r="S22" s="464"/>
      <c r="T22" s="464"/>
      <c r="U22" s="464"/>
      <c r="V22" s="464"/>
      <c r="W22" s="464"/>
      <c r="X22" s="464"/>
      <c r="Y22" s="464"/>
      <c r="Z22" s="464"/>
      <c r="AA22" s="464"/>
      <c r="AB22" s="464"/>
      <c r="AC22" s="464"/>
      <c r="AD22" s="464"/>
      <c r="AE22" s="464"/>
      <c r="AF22" s="464"/>
      <c r="AG22" s="464"/>
      <c r="AH22" s="465" t="s">
        <v>71</v>
      </c>
      <c r="AI22" s="465"/>
      <c r="AJ22" s="465"/>
      <c r="AK22" s="465"/>
      <c r="AL22" s="465"/>
      <c r="AM22" s="465"/>
      <c r="AN22" s="465"/>
      <c r="AO22" s="465"/>
      <c r="AP22" s="465" t="s">
        <v>76</v>
      </c>
      <c r="AQ22" s="465"/>
      <c r="AR22" s="465"/>
      <c r="AS22" s="465"/>
      <c r="AT22" s="465"/>
      <c r="AU22" s="465"/>
      <c r="AV22" s="466" t="s">
        <v>77</v>
      </c>
      <c r="AW22" s="466"/>
      <c r="AX22" s="466"/>
      <c r="AY22" s="466"/>
      <c r="AZ22" s="466"/>
      <c r="BA22" s="466"/>
      <c r="BB22" s="466"/>
      <c r="BC22" s="466"/>
      <c r="BD22" s="466"/>
      <c r="BE22" s="466"/>
      <c r="BF22" s="466"/>
      <c r="BG22" s="466"/>
      <c r="BH22" s="466"/>
    </row>
    <row r="23" spans="1:65" ht="25.5" customHeight="1" x14ac:dyDescent="0.2">
      <c r="A23" s="31"/>
      <c r="B23" s="467" t="s">
        <v>25</v>
      </c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68"/>
      <c r="T23" s="468"/>
      <c r="U23" s="468"/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468"/>
      <c r="AG23" s="468"/>
      <c r="AH23" s="469" t="s">
        <v>244</v>
      </c>
      <c r="AI23" s="469"/>
      <c r="AJ23" s="469"/>
      <c r="AK23" s="469"/>
      <c r="AL23" s="469"/>
      <c r="AM23" s="469"/>
      <c r="AN23" s="469"/>
      <c r="AO23" s="469"/>
      <c r="AP23" s="470">
        <v>3130</v>
      </c>
      <c r="AQ23" s="470"/>
      <c r="AR23" s="470"/>
      <c r="AS23" s="470"/>
      <c r="AT23" s="470"/>
      <c r="AU23" s="470"/>
      <c r="AV23" s="471" t="s">
        <v>30</v>
      </c>
      <c r="AW23" s="472"/>
      <c r="AX23" s="472"/>
      <c r="AY23" s="472"/>
      <c r="AZ23" s="472"/>
      <c r="BA23" s="472"/>
      <c r="BB23" s="472"/>
      <c r="BC23" s="472"/>
      <c r="BD23" s="472"/>
      <c r="BE23" s="472"/>
      <c r="BF23" s="472"/>
      <c r="BG23" s="472"/>
      <c r="BH23" s="473"/>
    </row>
    <row r="24" spans="1:65" ht="24" customHeight="1" x14ac:dyDescent="0.2">
      <c r="A24" s="31"/>
      <c r="B24" s="351" t="s">
        <v>72</v>
      </c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3" t="s">
        <v>244</v>
      </c>
      <c r="AI24" s="353"/>
      <c r="AJ24" s="353"/>
      <c r="AK24" s="353"/>
      <c r="AL24" s="353"/>
      <c r="AM24" s="353"/>
      <c r="AN24" s="353"/>
      <c r="AO24" s="353"/>
      <c r="AP24" s="354">
        <v>180</v>
      </c>
      <c r="AQ24" s="355"/>
      <c r="AR24" s="355"/>
      <c r="AS24" s="355"/>
      <c r="AT24" s="355"/>
      <c r="AU24" s="355"/>
      <c r="AV24" s="356" t="s">
        <v>79</v>
      </c>
      <c r="AW24" s="357"/>
      <c r="AX24" s="357"/>
      <c r="AY24" s="357"/>
      <c r="AZ24" s="357"/>
      <c r="BA24" s="357"/>
      <c r="BB24" s="357"/>
      <c r="BC24" s="357"/>
      <c r="BD24" s="357"/>
      <c r="BE24" s="357"/>
      <c r="BF24" s="357"/>
      <c r="BG24" s="357"/>
      <c r="BH24" s="358"/>
    </row>
    <row r="25" spans="1:65" ht="24" customHeight="1" x14ac:dyDescent="0.2">
      <c r="A25" s="31"/>
      <c r="B25" s="351" t="s">
        <v>278</v>
      </c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52"/>
      <c r="AH25" s="353" t="s">
        <v>212</v>
      </c>
      <c r="AI25" s="353"/>
      <c r="AJ25" s="353"/>
      <c r="AK25" s="353"/>
      <c r="AL25" s="353"/>
      <c r="AM25" s="353"/>
      <c r="AN25" s="353"/>
      <c r="AO25" s="353"/>
      <c r="AP25" s="354">
        <v>14.32</v>
      </c>
      <c r="AQ25" s="355"/>
      <c r="AR25" s="355"/>
      <c r="AS25" s="355"/>
      <c r="AT25" s="355"/>
      <c r="AU25" s="355"/>
      <c r="AV25" s="356"/>
      <c r="AW25" s="357"/>
      <c r="AX25" s="357"/>
      <c r="AY25" s="357"/>
      <c r="AZ25" s="357"/>
      <c r="BA25" s="357"/>
      <c r="BB25" s="357"/>
      <c r="BC25" s="357"/>
      <c r="BD25" s="357"/>
      <c r="BE25" s="357"/>
      <c r="BF25" s="357"/>
      <c r="BG25" s="357"/>
      <c r="BH25" s="358"/>
    </row>
    <row r="26" spans="1:65" ht="39" customHeight="1" x14ac:dyDescent="0.2">
      <c r="A26" s="43"/>
      <c r="B26" s="351" t="s">
        <v>214</v>
      </c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2"/>
      <c r="Y26" s="352"/>
      <c r="Z26" s="352"/>
      <c r="AA26" s="352"/>
      <c r="AB26" s="352"/>
      <c r="AC26" s="352"/>
      <c r="AD26" s="352"/>
      <c r="AE26" s="352"/>
      <c r="AF26" s="352"/>
      <c r="AG26" s="352"/>
      <c r="AH26" s="353" t="s">
        <v>215</v>
      </c>
      <c r="AI26" s="353"/>
      <c r="AJ26" s="353"/>
      <c r="AK26" s="353"/>
      <c r="AL26" s="353"/>
      <c r="AM26" s="353"/>
      <c r="AN26" s="353"/>
      <c r="AO26" s="353"/>
      <c r="AP26" s="354">
        <v>0.8</v>
      </c>
      <c r="AQ26" s="355"/>
      <c r="AR26" s="355"/>
      <c r="AS26" s="355"/>
      <c r="AT26" s="355"/>
      <c r="AU26" s="355"/>
      <c r="AV26" s="356" t="s">
        <v>220</v>
      </c>
      <c r="AW26" s="357"/>
      <c r="AX26" s="357"/>
      <c r="AY26" s="357"/>
      <c r="AZ26" s="357"/>
      <c r="BA26" s="357"/>
      <c r="BB26" s="357"/>
      <c r="BC26" s="357"/>
      <c r="BD26" s="357"/>
      <c r="BE26" s="357"/>
      <c r="BF26" s="357"/>
      <c r="BG26" s="357"/>
      <c r="BH26" s="358"/>
    </row>
    <row r="27" spans="1:65" ht="23.25" customHeight="1" x14ac:dyDescent="0.2">
      <c r="A27" s="43"/>
      <c r="B27" s="351" t="s">
        <v>260</v>
      </c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3" t="s">
        <v>75</v>
      </c>
      <c r="AI27" s="353"/>
      <c r="AJ27" s="353"/>
      <c r="AK27" s="353"/>
      <c r="AL27" s="353"/>
      <c r="AM27" s="353"/>
      <c r="AN27" s="353"/>
      <c r="AO27" s="353"/>
      <c r="AP27" s="354">
        <v>520</v>
      </c>
      <c r="AQ27" s="355"/>
      <c r="AR27" s="355"/>
      <c r="AS27" s="355"/>
      <c r="AT27" s="355"/>
      <c r="AU27" s="355"/>
      <c r="AV27" s="356"/>
      <c r="AW27" s="357"/>
      <c r="AX27" s="357"/>
      <c r="AY27" s="357"/>
      <c r="AZ27" s="357"/>
      <c r="BA27" s="357"/>
      <c r="BB27" s="357"/>
      <c r="BC27" s="357"/>
      <c r="BD27" s="357"/>
      <c r="BE27" s="357"/>
      <c r="BF27" s="357"/>
      <c r="BG27" s="357"/>
      <c r="BH27" s="358"/>
    </row>
    <row r="28" spans="1:65" ht="11.25" x14ac:dyDescent="0.2">
      <c r="A28" s="31"/>
      <c r="B28" s="457" t="s">
        <v>73</v>
      </c>
      <c r="C28" s="458"/>
      <c r="D28" s="458"/>
      <c r="E28" s="458"/>
      <c r="F28" s="458"/>
      <c r="G28" s="458"/>
      <c r="H28" s="458"/>
      <c r="I28" s="458"/>
      <c r="J28" s="458"/>
      <c r="K28" s="458"/>
      <c r="L28" s="458"/>
      <c r="M28" s="458"/>
      <c r="N28" s="458"/>
      <c r="O28" s="458"/>
      <c r="P28" s="458"/>
      <c r="Q28" s="458"/>
      <c r="R28" s="458"/>
      <c r="S28" s="458"/>
      <c r="T28" s="458"/>
      <c r="U28" s="458"/>
      <c r="V28" s="458"/>
      <c r="W28" s="458"/>
      <c r="X28" s="458"/>
      <c r="Y28" s="458"/>
      <c r="Z28" s="458"/>
      <c r="AA28" s="458"/>
      <c r="AB28" s="458"/>
      <c r="AC28" s="458"/>
      <c r="AD28" s="458"/>
      <c r="AE28" s="458"/>
      <c r="AF28" s="458"/>
      <c r="AG28" s="458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9"/>
    </row>
    <row r="29" spans="1:65" ht="36" customHeight="1" x14ac:dyDescent="0.2">
      <c r="A29" s="31"/>
      <c r="B29" s="351" t="s">
        <v>26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52"/>
      <c r="AF29" s="352"/>
      <c r="AG29" s="352"/>
      <c r="AH29" s="353" t="s">
        <v>75</v>
      </c>
      <c r="AI29" s="353"/>
      <c r="AJ29" s="353"/>
      <c r="AK29" s="353"/>
      <c r="AL29" s="353"/>
      <c r="AM29" s="353"/>
      <c r="AN29" s="353"/>
      <c r="AO29" s="353"/>
      <c r="AP29" s="355">
        <v>107</v>
      </c>
      <c r="AQ29" s="355"/>
      <c r="AR29" s="355"/>
      <c r="AS29" s="355"/>
      <c r="AT29" s="355"/>
      <c r="AU29" s="355"/>
      <c r="AV29" s="356" t="s">
        <v>250</v>
      </c>
      <c r="AW29" s="357"/>
      <c r="AX29" s="357"/>
      <c r="AY29" s="357"/>
      <c r="AZ29" s="357"/>
      <c r="BA29" s="357"/>
      <c r="BB29" s="357"/>
      <c r="BC29" s="357"/>
      <c r="BD29" s="357"/>
      <c r="BE29" s="357"/>
      <c r="BF29" s="357"/>
      <c r="BG29" s="357"/>
      <c r="BH29" s="358"/>
    </row>
    <row r="30" spans="1:65" s="13" customFormat="1" ht="24.75" customHeight="1" x14ac:dyDescent="0.2">
      <c r="A30" s="36"/>
      <c r="B30" s="403" t="s">
        <v>252</v>
      </c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  <c r="AG30" s="404"/>
      <c r="AH30" s="389" t="s">
        <v>74</v>
      </c>
      <c r="AI30" s="389"/>
      <c r="AJ30" s="389"/>
      <c r="AK30" s="389"/>
      <c r="AL30" s="389"/>
      <c r="AM30" s="389"/>
      <c r="AN30" s="389"/>
      <c r="AO30" s="389"/>
      <c r="AP30" s="390">
        <v>0.79</v>
      </c>
      <c r="AQ30" s="391"/>
      <c r="AR30" s="391"/>
      <c r="AS30" s="391"/>
      <c r="AT30" s="391"/>
      <c r="AU30" s="391"/>
      <c r="AV30" s="392"/>
      <c r="AW30" s="392"/>
      <c r="AX30" s="392"/>
      <c r="AY30" s="392"/>
      <c r="AZ30" s="392"/>
      <c r="BA30" s="392"/>
      <c r="BB30" s="392"/>
      <c r="BC30" s="392"/>
      <c r="BD30" s="392"/>
      <c r="BE30" s="392"/>
      <c r="BF30" s="392"/>
      <c r="BG30" s="392"/>
      <c r="BH30" s="393"/>
    </row>
    <row r="31" spans="1:65" s="1" customFormat="1" ht="12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>
        <v>98</v>
      </c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J31" s="3"/>
      <c r="BK31" s="3"/>
      <c r="BL31" s="3"/>
      <c r="BM31" s="3"/>
    </row>
    <row r="32" spans="1:65" ht="12" hidden="1" customHeight="1" x14ac:dyDescent="0.2">
      <c r="A32" s="396" t="s">
        <v>57</v>
      </c>
      <c r="B32" s="396"/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7" t="s">
        <v>58</v>
      </c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  <c r="AT32" s="397"/>
      <c r="AU32" s="397"/>
      <c r="AV32" s="397"/>
      <c r="AW32" s="397"/>
      <c r="AX32" s="397"/>
      <c r="AY32" s="397"/>
      <c r="AZ32" s="397"/>
      <c r="BA32" s="397"/>
      <c r="BB32" s="397"/>
      <c r="BC32" s="397"/>
      <c r="BD32" s="397"/>
      <c r="BE32" s="397"/>
      <c r="BF32" s="397"/>
      <c r="BG32" s="397"/>
      <c r="BH32" s="397"/>
    </row>
    <row r="33" spans="1:106" ht="12" hidden="1" customHeight="1" x14ac:dyDescent="0.2">
      <c r="A33" s="402" t="s">
        <v>60</v>
      </c>
      <c r="B33" s="402"/>
      <c r="C33" s="402"/>
      <c r="D33" s="402"/>
      <c r="E33" s="402"/>
      <c r="F33" s="402"/>
      <c r="G33" s="402"/>
      <c r="H33" s="402"/>
      <c r="I33" s="402"/>
      <c r="J33" s="402"/>
      <c r="K33" s="402"/>
      <c r="L33" s="402"/>
      <c r="M33" s="397" t="s">
        <v>61</v>
      </c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397"/>
      <c r="AW33" s="397"/>
      <c r="AX33" s="397"/>
      <c r="AY33" s="397"/>
      <c r="AZ33" s="397"/>
      <c r="BA33" s="397"/>
      <c r="BB33" s="397"/>
      <c r="BC33" s="397"/>
      <c r="BD33" s="397"/>
      <c r="BE33" s="397"/>
      <c r="BF33" s="397"/>
      <c r="BG33" s="397"/>
      <c r="BH33" s="397"/>
    </row>
    <row r="34" spans="1:106" ht="12" hidden="1" customHeight="1" x14ac:dyDescent="0.2">
      <c r="AK34" s="47" t="s">
        <v>59</v>
      </c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C34" s="455" t="str">
        <f>Q17</f>
        <v>22.08.2023</v>
      </c>
      <c r="BD34" s="456"/>
      <c r="BE34" s="456"/>
      <c r="BF34" s="456"/>
      <c r="BG34" s="456"/>
      <c r="BH34" s="456"/>
    </row>
    <row r="35" spans="1:106" s="1" customFormat="1" ht="12" customHeight="1" x14ac:dyDescent="0.2">
      <c r="A35" s="380" t="s">
        <v>32</v>
      </c>
      <c r="B35" s="381"/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2"/>
      <c r="X35" s="380" t="s">
        <v>27</v>
      </c>
      <c r="Y35" s="381"/>
      <c r="Z35" s="381"/>
      <c r="AA35" s="381"/>
      <c r="AB35" s="381"/>
      <c r="AC35" s="381"/>
      <c r="AD35" s="381"/>
      <c r="AE35" s="381"/>
      <c r="AF35" s="381"/>
      <c r="AG35" s="381"/>
      <c r="AH35" s="381"/>
      <c r="AI35" s="381"/>
      <c r="AJ35" s="381"/>
      <c r="AK35" s="381"/>
      <c r="AL35" s="381"/>
      <c r="AM35" s="381"/>
      <c r="AN35" s="381"/>
      <c r="AO35" s="381"/>
      <c r="AP35" s="381"/>
      <c r="AQ35" s="381"/>
      <c r="AR35" s="381"/>
      <c r="AS35" s="381"/>
      <c r="AT35" s="381"/>
      <c r="AU35" s="381"/>
      <c r="AV35" s="381"/>
      <c r="AW35" s="381"/>
      <c r="AX35" s="381"/>
      <c r="AY35" s="381"/>
      <c r="AZ35" s="381"/>
      <c r="BA35" s="381"/>
      <c r="BB35" s="382"/>
      <c r="BC35" s="399" t="s">
        <v>33</v>
      </c>
      <c r="BD35" s="400"/>
      <c r="BE35" s="400"/>
      <c r="BF35" s="400"/>
      <c r="BG35" s="400"/>
      <c r="BH35" s="401"/>
    </row>
    <row r="36" spans="1:106" s="1" customFormat="1" ht="12" customHeight="1" x14ac:dyDescent="0.2">
      <c r="A36" s="328" t="s">
        <v>62</v>
      </c>
      <c r="B36" s="369"/>
      <c r="C36" s="394" t="s">
        <v>81</v>
      </c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4"/>
      <c r="AG36" s="394"/>
      <c r="AH36" s="394"/>
      <c r="AI36" s="394"/>
      <c r="AJ36" s="394"/>
      <c r="AK36" s="394"/>
      <c r="AL36" s="394"/>
      <c r="AM36" s="394"/>
      <c r="AN36" s="394"/>
      <c r="AO36" s="394"/>
      <c r="AP36" s="394"/>
      <c r="AQ36" s="394"/>
      <c r="AR36" s="394"/>
      <c r="AS36" s="394"/>
      <c r="AT36" s="394"/>
      <c r="AU36" s="394"/>
      <c r="AV36" s="394"/>
      <c r="AW36" s="394"/>
      <c r="AX36" s="394"/>
      <c r="AY36" s="394"/>
      <c r="AZ36" s="394"/>
      <c r="BA36" s="394"/>
      <c r="BB36" s="394"/>
      <c r="BC36" s="394"/>
      <c r="BD36" s="394"/>
      <c r="BE36" s="394"/>
      <c r="BF36" s="394"/>
      <c r="BG36" s="394"/>
      <c r="BH36" s="395"/>
    </row>
    <row r="37" spans="1:106" s="119" customFormat="1" ht="12" customHeight="1" x14ac:dyDescent="0.2">
      <c r="A37" s="307" t="str">
        <f>график!A4</f>
        <v>1.1</v>
      </c>
      <c r="B37" s="308"/>
      <c r="C37" s="309" t="str">
        <f>график!B4</f>
        <v>обеспечение проработки инвестиционного замысла и выбора оптимального решения</v>
      </c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35" t="s">
        <v>279</v>
      </c>
      <c r="BB37" s="335"/>
      <c r="BC37" s="335"/>
      <c r="BD37" s="335"/>
      <c r="BE37" s="335"/>
      <c r="BF37" s="335"/>
      <c r="BG37" s="335"/>
      <c r="BH37" s="33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7"/>
    </row>
    <row r="38" spans="1:106" s="117" customFormat="1" ht="12" customHeight="1" x14ac:dyDescent="0.25">
      <c r="A38" s="237" t="s">
        <v>184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9"/>
      <c r="X38" s="275" t="s">
        <v>45</v>
      </c>
      <c r="Y38" s="276"/>
      <c r="Z38" s="276"/>
      <c r="AA38" s="276"/>
      <c r="AB38" s="278" t="str">
        <f>график!C4</f>
        <v>сен 2023</v>
      </c>
      <c r="AC38" s="278"/>
      <c r="AD38" s="278"/>
      <c r="AE38" s="278"/>
      <c r="AF38" s="278"/>
      <c r="AG38" s="122" t="s">
        <v>1</v>
      </c>
      <c r="AH38" s="280" t="str">
        <f>график!E4</f>
        <v>окт 2023</v>
      </c>
      <c r="AI38" s="280"/>
      <c r="AJ38" s="280"/>
      <c r="AK38" s="280"/>
      <c r="AL38" s="280"/>
      <c r="AM38" s="211" t="s">
        <v>177</v>
      </c>
      <c r="AN38" s="211"/>
      <c r="AO38" s="120" t="s">
        <v>28</v>
      </c>
      <c r="AP38" s="281">
        <f>график!G4</f>
        <v>1.0170999999999999</v>
      </c>
      <c r="AQ38" s="281"/>
      <c r="AR38" s="281"/>
      <c r="AS38" s="281"/>
      <c r="AT38" s="211" t="s">
        <v>178</v>
      </c>
      <c r="AU38" s="211"/>
      <c r="AV38" s="120" t="s">
        <v>28</v>
      </c>
      <c r="AW38" s="212">
        <f>график!F4</f>
        <v>1.0170999999999999</v>
      </c>
      <c r="AX38" s="212"/>
      <c r="AY38" s="212"/>
      <c r="AZ38" s="213"/>
      <c r="BA38" s="214"/>
      <c r="BB38" s="215"/>
      <c r="BC38" s="215"/>
      <c r="BD38" s="215"/>
      <c r="BE38" s="215"/>
      <c r="BF38" s="215"/>
      <c r="BG38" s="215"/>
      <c r="BH38" s="2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48"/>
    </row>
    <row r="39" spans="1:106" s="117" customFormat="1" ht="12" customHeight="1" x14ac:dyDescent="0.2">
      <c r="A39" s="359" t="s">
        <v>185</v>
      </c>
      <c r="B39" s="360"/>
      <c r="C39" s="360"/>
      <c r="D39" s="360"/>
      <c r="E39" s="360"/>
      <c r="F39" s="360"/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1"/>
      <c r="X39" s="259" t="s">
        <v>22</v>
      </c>
      <c r="Y39" s="260"/>
      <c r="Z39" s="260"/>
      <c r="AA39" s="123" t="s">
        <v>28</v>
      </c>
      <c r="AB39" s="342">
        <v>6.3</v>
      </c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342"/>
      <c r="AR39" s="342"/>
      <c r="AS39" s="342"/>
      <c r="AT39" s="288"/>
      <c r="AU39" s="288"/>
      <c r="AV39" s="127"/>
      <c r="AW39" s="217"/>
      <c r="AX39" s="217"/>
      <c r="AY39" s="217"/>
      <c r="AZ39" s="218"/>
      <c r="BA39" s="219">
        <f>AB39</f>
        <v>6.3</v>
      </c>
      <c r="BB39" s="220"/>
      <c r="BC39" s="220"/>
      <c r="BD39" s="220"/>
      <c r="BE39" s="220"/>
      <c r="BF39" s="221" t="s">
        <v>182</v>
      </c>
      <c r="BG39" s="221"/>
      <c r="BH39" s="222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48"/>
    </row>
    <row r="40" spans="1:106" s="117" customFormat="1" ht="12" customHeight="1" x14ac:dyDescent="0.2">
      <c r="A40" s="362" t="s">
        <v>179</v>
      </c>
      <c r="B40" s="363"/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121"/>
      <c r="R40" s="364"/>
      <c r="S40" s="364"/>
      <c r="T40" s="176"/>
      <c r="U40" s="365"/>
      <c r="V40" s="366"/>
      <c r="W40" s="367"/>
      <c r="X40" s="259" t="s">
        <v>181</v>
      </c>
      <c r="Y40" s="260"/>
      <c r="Z40" s="260"/>
      <c r="AA40" s="123" t="s">
        <v>28</v>
      </c>
      <c r="AB40" s="217" t="str">
        <f>CONCATENATE(AB39," x ",$AO$17," x ", AP38," x [1 + 0,5 x (",AW38," - 1)]  = ")</f>
        <v xml:space="preserve">6,3 x 307,7 x 1,0171 x [1 + 0,5 x (1,0171 - 1)]  = </v>
      </c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8"/>
      <c r="BA40" s="219">
        <f>ROUND(AB39*$AO$17*AP38*(1+0.5*(AW38-1)),2)</f>
        <v>1988.52</v>
      </c>
      <c r="BB40" s="220"/>
      <c r="BC40" s="220"/>
      <c r="BD40" s="220"/>
      <c r="BE40" s="220"/>
      <c r="BF40" s="221" t="s">
        <v>23</v>
      </c>
      <c r="BG40" s="221"/>
      <c r="BH40" s="222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48"/>
    </row>
    <row r="41" spans="1:106" s="119" customFormat="1" ht="12" customHeight="1" x14ac:dyDescent="0.2">
      <c r="A41" s="375" t="str">
        <f>график!A5</f>
        <v>1.2</v>
      </c>
      <c r="B41" s="376"/>
      <c r="C41" s="372" t="str">
        <f>график!B5</f>
        <v>разработка и согласование задания на разработку предпроектной документации</v>
      </c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372"/>
      <c r="AU41" s="372"/>
      <c r="AV41" s="372"/>
      <c r="AW41" s="372"/>
      <c r="AX41" s="372"/>
      <c r="AY41" s="372"/>
      <c r="AZ41" s="372"/>
      <c r="BA41" s="310" t="s">
        <v>264</v>
      </c>
      <c r="BB41" s="310"/>
      <c r="BC41" s="310"/>
      <c r="BD41" s="310"/>
      <c r="BE41" s="310"/>
      <c r="BF41" s="310"/>
      <c r="BG41" s="310"/>
      <c r="BH41" s="311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7"/>
    </row>
    <row r="42" spans="1:106" s="117" customFormat="1" ht="12" customHeight="1" x14ac:dyDescent="0.25">
      <c r="A42" s="237" t="s">
        <v>180</v>
      </c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9"/>
      <c r="X42" s="275" t="s">
        <v>45</v>
      </c>
      <c r="Y42" s="276"/>
      <c r="Z42" s="276"/>
      <c r="AA42" s="276"/>
      <c r="AB42" s="277" t="str">
        <f>график!C5</f>
        <v>сен 2023</v>
      </c>
      <c r="AC42" s="278"/>
      <c r="AD42" s="278"/>
      <c r="AE42" s="278"/>
      <c r="AF42" s="278"/>
      <c r="AG42" s="122" t="s">
        <v>1</v>
      </c>
      <c r="AH42" s="279" t="str">
        <f>график!E5</f>
        <v>сен 2023</v>
      </c>
      <c r="AI42" s="280"/>
      <c r="AJ42" s="280"/>
      <c r="AK42" s="280"/>
      <c r="AL42" s="280"/>
      <c r="AM42" s="211" t="s">
        <v>177</v>
      </c>
      <c r="AN42" s="211"/>
      <c r="AO42" s="120" t="s">
        <v>28</v>
      </c>
      <c r="AP42" s="281">
        <f>график!F5</f>
        <v>1.0170999999999999</v>
      </c>
      <c r="AQ42" s="281"/>
      <c r="AR42" s="281"/>
      <c r="AS42" s="281"/>
      <c r="AT42" s="211" t="s">
        <v>178</v>
      </c>
      <c r="AU42" s="211"/>
      <c r="AV42" s="120" t="s">
        <v>28</v>
      </c>
      <c r="AW42" s="212">
        <f>график!G5</f>
        <v>1.0085</v>
      </c>
      <c r="AX42" s="212"/>
      <c r="AY42" s="212"/>
      <c r="AZ42" s="213"/>
      <c r="BA42" s="214"/>
      <c r="BB42" s="215"/>
      <c r="BC42" s="215"/>
      <c r="BD42" s="215"/>
      <c r="BE42" s="215"/>
      <c r="BF42" s="215"/>
      <c r="BG42" s="215"/>
      <c r="BH42" s="2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48"/>
    </row>
    <row r="43" spans="1:106" s="117" customFormat="1" ht="12" customHeight="1" x14ac:dyDescent="0.2">
      <c r="A43" s="377" t="s">
        <v>179</v>
      </c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9"/>
      <c r="X43" s="259" t="s">
        <v>22</v>
      </c>
      <c r="Y43" s="260"/>
      <c r="Z43" s="260"/>
      <c r="AA43" s="123" t="s">
        <v>28</v>
      </c>
      <c r="AB43" s="342">
        <v>1.1000000000000001</v>
      </c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2"/>
      <c r="AS43" s="342"/>
      <c r="AT43" s="288"/>
      <c r="AU43" s="288"/>
      <c r="AV43" s="127"/>
      <c r="AW43" s="217"/>
      <c r="AX43" s="217"/>
      <c r="AY43" s="217"/>
      <c r="AZ43" s="218"/>
      <c r="BA43" s="219">
        <f>AB43</f>
        <v>1.1000000000000001</v>
      </c>
      <c r="BB43" s="220"/>
      <c r="BC43" s="220"/>
      <c r="BD43" s="220"/>
      <c r="BE43" s="220"/>
      <c r="BF43" s="221" t="s">
        <v>182</v>
      </c>
      <c r="BG43" s="221"/>
      <c r="BH43" s="222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48"/>
    </row>
    <row r="44" spans="1:106" s="117" customFormat="1" ht="12" customHeight="1" x14ac:dyDescent="0.2">
      <c r="A44" s="362" t="s">
        <v>179</v>
      </c>
      <c r="B44" s="363"/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121"/>
      <c r="R44" s="288"/>
      <c r="S44" s="288"/>
      <c r="T44" s="127"/>
      <c r="U44" s="373"/>
      <c r="V44" s="363"/>
      <c r="W44" s="374"/>
      <c r="X44" s="259" t="s">
        <v>181</v>
      </c>
      <c r="Y44" s="260"/>
      <c r="Z44" s="260"/>
      <c r="AA44" s="123" t="s">
        <v>28</v>
      </c>
      <c r="AB44" s="217" t="str">
        <f>CONCATENATE(AB43," x ",$AO$17," x ", AP42," x [1 + 0,5 x (",AW42," - 1)] = ")</f>
        <v xml:space="preserve">1,1 x 307,7 x 1,0171 x [1 + 0,5 x (1,0085 - 1)] = </v>
      </c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8"/>
      <c r="BA44" s="219">
        <f>ROUND(AB43*$AO$17*AP42*(1+0.5*(AW42-1)),2)</f>
        <v>345.72</v>
      </c>
      <c r="BB44" s="220"/>
      <c r="BC44" s="220"/>
      <c r="BD44" s="220"/>
      <c r="BE44" s="220"/>
      <c r="BF44" s="221" t="s">
        <v>23</v>
      </c>
      <c r="BG44" s="221"/>
      <c r="BH44" s="222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48"/>
    </row>
    <row r="45" spans="1:106" s="119" customFormat="1" ht="12" customHeight="1" x14ac:dyDescent="0.2">
      <c r="A45" s="375" t="str">
        <f>график!A6</f>
        <v>1.3</v>
      </c>
      <c r="B45" s="376"/>
      <c r="C45" s="372" t="str">
        <f>график!B6</f>
        <v>разработка и согласование декларации о намерениях</v>
      </c>
      <c r="D45" s="372"/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372"/>
      <c r="AC45" s="372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372"/>
      <c r="AU45" s="372"/>
      <c r="AV45" s="372"/>
      <c r="AW45" s="372"/>
      <c r="AX45" s="372"/>
      <c r="AY45" s="372"/>
      <c r="AZ45" s="372"/>
      <c r="BA45" s="310" t="s">
        <v>264</v>
      </c>
      <c r="BB45" s="310"/>
      <c r="BC45" s="310"/>
      <c r="BD45" s="310"/>
      <c r="BE45" s="310"/>
      <c r="BF45" s="310"/>
      <c r="BG45" s="310"/>
      <c r="BH45" s="311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7"/>
    </row>
    <row r="46" spans="1:106" s="117" customFormat="1" ht="12" customHeight="1" x14ac:dyDescent="0.25">
      <c r="A46" s="237" t="s">
        <v>187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9"/>
      <c r="X46" s="275" t="s">
        <v>45</v>
      </c>
      <c r="Y46" s="276"/>
      <c r="Z46" s="276"/>
      <c r="AA46" s="276"/>
      <c r="AB46" s="277" t="str">
        <f>график!C6</f>
        <v>сен 2023</v>
      </c>
      <c r="AC46" s="278"/>
      <c r="AD46" s="278"/>
      <c r="AE46" s="278"/>
      <c r="AF46" s="278"/>
      <c r="AG46" s="122" t="s">
        <v>1</v>
      </c>
      <c r="AH46" s="279" t="str">
        <f>график!E6</f>
        <v>окт 2023</v>
      </c>
      <c r="AI46" s="280"/>
      <c r="AJ46" s="280"/>
      <c r="AK46" s="280"/>
      <c r="AL46" s="280"/>
      <c r="AM46" s="211" t="s">
        <v>177</v>
      </c>
      <c r="AN46" s="211"/>
      <c r="AO46" s="120" t="s">
        <v>28</v>
      </c>
      <c r="AP46" s="281">
        <f>график!F6</f>
        <v>1.0170999999999999</v>
      </c>
      <c r="AQ46" s="281"/>
      <c r="AR46" s="281"/>
      <c r="AS46" s="281"/>
      <c r="AT46" s="211" t="s">
        <v>178</v>
      </c>
      <c r="AU46" s="211"/>
      <c r="AV46" s="120" t="s">
        <v>28</v>
      </c>
      <c r="AW46" s="212">
        <f>график!G6</f>
        <v>1.0170999999999999</v>
      </c>
      <c r="AX46" s="212"/>
      <c r="AY46" s="212"/>
      <c r="AZ46" s="213"/>
      <c r="BA46" s="214"/>
      <c r="BB46" s="215"/>
      <c r="BC46" s="215"/>
      <c r="BD46" s="215"/>
      <c r="BE46" s="215"/>
      <c r="BF46" s="215"/>
      <c r="BG46" s="215"/>
      <c r="BH46" s="2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48"/>
    </row>
    <row r="47" spans="1:106" s="117" customFormat="1" ht="12" customHeight="1" x14ac:dyDescent="0.2">
      <c r="A47" s="377" t="s">
        <v>179</v>
      </c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8"/>
      <c r="O47" s="378"/>
      <c r="P47" s="378"/>
      <c r="Q47" s="378"/>
      <c r="R47" s="378"/>
      <c r="S47" s="378"/>
      <c r="T47" s="378"/>
      <c r="U47" s="378"/>
      <c r="V47" s="378"/>
      <c r="W47" s="379"/>
      <c r="X47" s="259" t="s">
        <v>22</v>
      </c>
      <c r="Y47" s="260"/>
      <c r="Z47" s="260"/>
      <c r="AA47" s="123" t="s">
        <v>28</v>
      </c>
      <c r="AB47" s="342">
        <v>4</v>
      </c>
      <c r="AC47" s="342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2"/>
      <c r="AO47" s="342"/>
      <c r="AP47" s="342"/>
      <c r="AQ47" s="342"/>
      <c r="AR47" s="342"/>
      <c r="AS47" s="342"/>
      <c r="AT47" s="288"/>
      <c r="AU47" s="288"/>
      <c r="AV47" s="127"/>
      <c r="AW47" s="217"/>
      <c r="AX47" s="217"/>
      <c r="AY47" s="217"/>
      <c r="AZ47" s="218"/>
      <c r="BA47" s="219">
        <f>AB47</f>
        <v>4</v>
      </c>
      <c r="BB47" s="220"/>
      <c r="BC47" s="220"/>
      <c r="BD47" s="220"/>
      <c r="BE47" s="220"/>
      <c r="BF47" s="221" t="s">
        <v>182</v>
      </c>
      <c r="BG47" s="221"/>
      <c r="BH47" s="222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48"/>
    </row>
    <row r="48" spans="1:106" s="117" customFormat="1" ht="12" customHeight="1" x14ac:dyDescent="0.2">
      <c r="A48" s="362" t="s">
        <v>179</v>
      </c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121"/>
      <c r="R48" s="288"/>
      <c r="S48" s="288"/>
      <c r="T48" s="127"/>
      <c r="U48" s="373"/>
      <c r="V48" s="363"/>
      <c r="W48" s="374"/>
      <c r="X48" s="259" t="s">
        <v>181</v>
      </c>
      <c r="Y48" s="260"/>
      <c r="Z48" s="260"/>
      <c r="AA48" s="123" t="s">
        <v>28</v>
      </c>
      <c r="AB48" s="217" t="str">
        <f>CONCATENATE(AB47," x ",$AO$17," x ", AP46," x [1 + 0,5 x (",AW46," - 1)] = ")</f>
        <v xml:space="preserve">4 x 307,7 x 1,0171 x [1 + 0,5 x (1,0171 - 1)] = </v>
      </c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8"/>
      <c r="BA48" s="219">
        <f>ROUND(AB47*$AO$17*AP46*(1+0.5*(AW46-1)),2)</f>
        <v>1262.55</v>
      </c>
      <c r="BB48" s="220"/>
      <c r="BC48" s="220"/>
      <c r="BD48" s="220"/>
      <c r="BE48" s="220"/>
      <c r="BF48" s="221" t="s">
        <v>23</v>
      </c>
      <c r="BG48" s="221"/>
      <c r="BH48" s="222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48"/>
    </row>
    <row r="49" spans="1:106" ht="12" customHeight="1" x14ac:dyDescent="0.2">
      <c r="A49" s="132" t="s">
        <v>205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4"/>
      <c r="AL49" s="134"/>
      <c r="AM49" s="134"/>
      <c r="AN49" s="134"/>
      <c r="AO49" s="134"/>
      <c r="AP49" s="134"/>
      <c r="AQ49" s="135"/>
      <c r="AR49" s="136"/>
      <c r="AS49" s="135"/>
      <c r="AT49" s="135"/>
      <c r="AU49" s="135"/>
      <c r="AV49" s="135"/>
      <c r="AW49" s="240" t="s">
        <v>22</v>
      </c>
      <c r="AX49" s="240"/>
      <c r="AY49" s="240"/>
      <c r="AZ49" s="188" t="s">
        <v>28</v>
      </c>
      <c r="BA49" s="241">
        <f>BA47+BA43+BA39</f>
        <v>11.399999999999999</v>
      </c>
      <c r="BB49" s="241"/>
      <c r="BC49" s="241"/>
      <c r="BD49" s="241"/>
      <c r="BE49" s="241"/>
      <c r="BF49" s="189" t="s">
        <v>182</v>
      </c>
      <c r="BG49" s="189"/>
      <c r="BH49" s="190"/>
    </row>
    <row r="50" spans="1:106" s="117" customFormat="1" ht="12" customHeight="1" x14ac:dyDescent="0.2">
      <c r="A50" s="262" t="s">
        <v>179</v>
      </c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140"/>
      <c r="Y50" s="140"/>
      <c r="Z50" s="140"/>
      <c r="AA50" s="140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4"/>
      <c r="AU50" s="144"/>
      <c r="AV50" s="145"/>
      <c r="AW50" s="264" t="s">
        <v>186</v>
      </c>
      <c r="AX50" s="264"/>
      <c r="AY50" s="264"/>
      <c r="AZ50" s="141" t="s">
        <v>28</v>
      </c>
      <c r="BA50" s="265">
        <f>BA48+BA44+BA40</f>
        <v>3596.79</v>
      </c>
      <c r="BB50" s="265"/>
      <c r="BC50" s="265"/>
      <c r="BD50" s="265"/>
      <c r="BE50" s="265"/>
      <c r="BF50" s="266" t="s">
        <v>23</v>
      </c>
      <c r="BG50" s="266"/>
      <c r="BH50" s="267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48"/>
    </row>
    <row r="51" spans="1:106" s="1" customFormat="1" ht="13.5" customHeight="1" x14ac:dyDescent="0.2">
      <c r="A51" s="328" t="s">
        <v>3</v>
      </c>
      <c r="B51" s="369"/>
      <c r="C51" s="330" t="str">
        <f>график!B7</f>
        <v>УСЛУГИ ПО РАЗРАБОТКЕ ПРЕДПРОЕКТНОЙ ДОКУМЕНТАЦИИ</v>
      </c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2"/>
      <c r="BI51" s="116"/>
    </row>
    <row r="52" spans="1:106" s="119" customFormat="1" ht="12" customHeight="1" x14ac:dyDescent="0.2">
      <c r="A52" s="307" t="str">
        <f>график!A8</f>
        <v>2.1</v>
      </c>
      <c r="B52" s="308"/>
      <c r="C52" s="309" t="str">
        <f>график!B8</f>
        <v>разработка и согласование обоснования инвестиций</v>
      </c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10" t="s">
        <v>265</v>
      </c>
      <c r="BB52" s="310"/>
      <c r="BC52" s="310"/>
      <c r="BD52" s="310"/>
      <c r="BE52" s="310"/>
      <c r="BF52" s="310"/>
      <c r="BG52" s="310"/>
      <c r="BH52" s="311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147"/>
    </row>
    <row r="53" spans="1:106" s="117" customFormat="1" ht="12" customHeight="1" x14ac:dyDescent="0.25">
      <c r="A53" s="237" t="s">
        <v>188</v>
      </c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9"/>
      <c r="X53" s="275" t="s">
        <v>45</v>
      </c>
      <c r="Y53" s="276"/>
      <c r="Z53" s="276"/>
      <c r="AA53" s="276"/>
      <c r="AB53" s="278" t="str">
        <f>график!C8</f>
        <v>сен 2023</v>
      </c>
      <c r="AC53" s="278"/>
      <c r="AD53" s="278"/>
      <c r="AE53" s="278"/>
      <c r="AF53" s="278"/>
      <c r="AG53" s="122" t="s">
        <v>1</v>
      </c>
      <c r="AH53" s="280" t="str">
        <f>график!E8</f>
        <v>окт 2023</v>
      </c>
      <c r="AI53" s="280"/>
      <c r="AJ53" s="280"/>
      <c r="AK53" s="280"/>
      <c r="AL53" s="280"/>
      <c r="AM53" s="211" t="s">
        <v>177</v>
      </c>
      <c r="AN53" s="211"/>
      <c r="AO53" s="120" t="s">
        <v>28</v>
      </c>
      <c r="AP53" s="281">
        <f>график!F8</f>
        <v>1.0170999999999999</v>
      </c>
      <c r="AQ53" s="281"/>
      <c r="AR53" s="281"/>
      <c r="AS53" s="281"/>
      <c r="AT53" s="211" t="s">
        <v>178</v>
      </c>
      <c r="AU53" s="211"/>
      <c r="AV53" s="120" t="s">
        <v>28</v>
      </c>
      <c r="AW53" s="212">
        <f>график!G8</f>
        <v>1.0170999999999999</v>
      </c>
      <c r="AX53" s="212"/>
      <c r="AY53" s="212"/>
      <c r="AZ53" s="213"/>
      <c r="BA53" s="320"/>
      <c r="BB53" s="321"/>
      <c r="BC53" s="321"/>
      <c r="BD53" s="321"/>
      <c r="BE53" s="321"/>
      <c r="BF53" s="321"/>
      <c r="BG53" s="321"/>
      <c r="BH53" s="322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48"/>
    </row>
    <row r="54" spans="1:106" s="117" customFormat="1" ht="12" customHeight="1" x14ac:dyDescent="0.2">
      <c r="A54" s="270" t="s">
        <v>198</v>
      </c>
      <c r="B54" s="271"/>
      <c r="C54" s="271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2"/>
      <c r="X54" s="273" t="s">
        <v>39</v>
      </c>
      <c r="Y54" s="274"/>
      <c r="Z54" s="274"/>
      <c r="AA54" s="46" t="s">
        <v>28</v>
      </c>
      <c r="AB54" s="288">
        <v>1000</v>
      </c>
      <c r="AC54" s="288"/>
      <c r="AD54" s="288"/>
      <c r="AE54" s="288"/>
      <c r="AF54" s="282" t="s">
        <v>40</v>
      </c>
      <c r="AG54" s="274"/>
      <c r="AH54" s="274"/>
      <c r="AI54" s="274"/>
      <c r="AJ54" s="274"/>
      <c r="AK54" s="46" t="s">
        <v>28</v>
      </c>
      <c r="AL54" s="257">
        <v>9.8000000000000007</v>
      </c>
      <c r="AM54" s="258"/>
      <c r="AN54" s="258"/>
      <c r="AO54" s="258"/>
      <c r="AP54" s="258"/>
      <c r="AQ54" s="137"/>
      <c r="AR54" s="137"/>
      <c r="AS54" s="137"/>
      <c r="AT54" s="137"/>
      <c r="AU54" s="137"/>
      <c r="AV54" s="137"/>
      <c r="AW54" s="137"/>
      <c r="AX54" s="137"/>
      <c r="AY54" s="137"/>
      <c r="AZ54" s="166"/>
      <c r="BA54" s="219"/>
      <c r="BB54" s="220"/>
      <c r="BC54" s="220"/>
      <c r="BD54" s="220"/>
      <c r="BE54" s="220"/>
      <c r="BF54" s="221"/>
      <c r="BG54" s="221"/>
      <c r="BH54" s="222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48"/>
    </row>
    <row r="55" spans="1:106" s="117" customFormat="1" ht="12" customHeight="1" x14ac:dyDescent="0.2">
      <c r="A55" s="270"/>
      <c r="B55" s="271"/>
      <c r="C55" s="271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2"/>
      <c r="X55" s="273" t="s">
        <v>43</v>
      </c>
      <c r="Y55" s="274"/>
      <c r="Z55" s="274"/>
      <c r="AA55" s="46" t="s">
        <v>28</v>
      </c>
      <c r="AB55" s="288">
        <v>5000</v>
      </c>
      <c r="AC55" s="288"/>
      <c r="AD55" s="288"/>
      <c r="AE55" s="288"/>
      <c r="AF55" s="282" t="s">
        <v>44</v>
      </c>
      <c r="AG55" s="274"/>
      <c r="AH55" s="274"/>
      <c r="AI55" s="274"/>
      <c r="AJ55" s="274"/>
      <c r="AK55" s="46" t="s">
        <v>28</v>
      </c>
      <c r="AL55" s="257">
        <v>12.8</v>
      </c>
      <c r="AM55" s="258"/>
      <c r="AN55" s="258"/>
      <c r="AO55" s="258"/>
      <c r="AP55" s="258"/>
      <c r="AQ55" s="137"/>
      <c r="AR55" s="137"/>
      <c r="AS55" s="137"/>
      <c r="AT55" s="137"/>
      <c r="AU55" s="137"/>
      <c r="AV55" s="137"/>
      <c r="AW55" s="137"/>
      <c r="AX55" s="137"/>
      <c r="AY55" s="137"/>
      <c r="AZ55" s="166"/>
      <c r="BA55" s="219"/>
      <c r="BB55" s="220"/>
      <c r="BC55" s="220"/>
      <c r="BD55" s="220"/>
      <c r="BE55" s="220"/>
      <c r="BF55" s="221"/>
      <c r="BG55" s="221"/>
      <c r="BH55" s="222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48"/>
    </row>
    <row r="56" spans="1:106" s="117" customFormat="1" ht="12" customHeight="1" x14ac:dyDescent="0.2">
      <c r="A56" s="270"/>
      <c r="B56" s="271"/>
      <c r="C56" s="271"/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2"/>
      <c r="X56" s="259" t="s">
        <v>22</v>
      </c>
      <c r="Y56" s="260"/>
      <c r="Z56" s="260"/>
      <c r="AA56" s="123" t="s">
        <v>28</v>
      </c>
      <c r="AB56" s="217" t="str">
        <f>CONCATENATE(AL54," + [ (",AL55," - ", AL54,") / (",AB55," - ", AB54,") ] x  (",D57," - ",AB54,") = ")</f>
        <v xml:space="preserve">9,8 + [ (12,8 - 9,8) / (5000 - 1000) ] x  (3310 - 1000) = </v>
      </c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8"/>
      <c r="BA56" s="219">
        <f>ROUND(AL54 + ((AL55-AL54) / (AB55-AB54)) * (D57-AB54),2)</f>
        <v>11.53</v>
      </c>
      <c r="BB56" s="220"/>
      <c r="BC56" s="220"/>
      <c r="BD56" s="220"/>
      <c r="BE56" s="220"/>
      <c r="BF56" s="221" t="s">
        <v>182</v>
      </c>
      <c r="BG56" s="221"/>
      <c r="BH56" s="222"/>
      <c r="BI56" s="116"/>
      <c r="BJ56" s="175" t="s">
        <v>190</v>
      </c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48"/>
    </row>
    <row r="57" spans="1:106" s="117" customFormat="1" ht="12" customHeight="1" x14ac:dyDescent="0.25">
      <c r="A57" s="223" t="s">
        <v>189</v>
      </c>
      <c r="B57" s="224"/>
      <c r="C57" s="142" t="s">
        <v>28</v>
      </c>
      <c r="D57" s="225">
        <f>AP23+AP24</f>
        <v>3310</v>
      </c>
      <c r="E57" s="225"/>
      <c r="F57" s="225"/>
      <c r="G57" s="225"/>
      <c r="H57" s="225"/>
      <c r="I57" s="226" t="s">
        <v>256</v>
      </c>
      <c r="J57" s="226"/>
      <c r="K57" s="226"/>
      <c r="L57" s="226"/>
      <c r="M57" s="226"/>
      <c r="N57" s="226"/>
      <c r="O57" s="149"/>
      <c r="P57" s="149"/>
      <c r="Q57" s="149"/>
      <c r="R57" s="224"/>
      <c r="S57" s="224"/>
      <c r="T57" s="142"/>
      <c r="U57" s="227"/>
      <c r="V57" s="226"/>
      <c r="W57" s="228"/>
      <c r="X57" s="229" t="s">
        <v>181</v>
      </c>
      <c r="Y57" s="230"/>
      <c r="Z57" s="230"/>
      <c r="AA57" s="126" t="s">
        <v>28</v>
      </c>
      <c r="AB57" s="231" t="str">
        <f>CONCATENATE(BA56," x ",$AO$17," x ", AP53," x [1 + 0,5 x (",AW53," - 1)]  = ")</f>
        <v xml:space="preserve">11,53 x 307,7 x 1,0171 x [1 + 0,5 x (1,0171 - 1)]  = </v>
      </c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2"/>
      <c r="BA57" s="233">
        <f>ROUND(BA56*$AO$17*AP53*(1+0.5*(AW53-1)),2)</f>
        <v>3639.3</v>
      </c>
      <c r="BB57" s="234"/>
      <c r="BC57" s="234"/>
      <c r="BD57" s="234"/>
      <c r="BE57" s="234"/>
      <c r="BF57" s="235" t="s">
        <v>23</v>
      </c>
      <c r="BG57" s="235"/>
      <c r="BH57" s="23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48"/>
    </row>
    <row r="58" spans="1:106" s="119" customFormat="1" ht="12" customHeight="1" x14ac:dyDescent="0.2">
      <c r="A58" s="307" t="str">
        <f>график!A9</f>
        <v>2.2</v>
      </c>
      <c r="B58" s="308"/>
      <c r="C58" s="309" t="str">
        <f>график!B9</f>
        <v>разработка и согласование плана управления проектом</v>
      </c>
      <c r="D58" s="309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10" t="s">
        <v>265</v>
      </c>
      <c r="BB58" s="310"/>
      <c r="BC58" s="310"/>
      <c r="BD58" s="310"/>
      <c r="BE58" s="310"/>
      <c r="BF58" s="310"/>
      <c r="BG58" s="310"/>
      <c r="BH58" s="311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7"/>
    </row>
    <row r="59" spans="1:106" s="117" customFormat="1" ht="12" customHeight="1" x14ac:dyDescent="0.25">
      <c r="A59" s="237" t="s">
        <v>191</v>
      </c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9"/>
      <c r="X59" s="275" t="s">
        <v>45</v>
      </c>
      <c r="Y59" s="276"/>
      <c r="Z59" s="276"/>
      <c r="AA59" s="276"/>
      <c r="AB59" s="278" t="str">
        <f>график!C9</f>
        <v>ноя 2023</v>
      </c>
      <c r="AC59" s="278"/>
      <c r="AD59" s="278"/>
      <c r="AE59" s="278"/>
      <c r="AF59" s="278"/>
      <c r="AG59" s="122" t="s">
        <v>1</v>
      </c>
      <c r="AH59" s="280" t="str">
        <f>график!E9</f>
        <v>ноя 2023</v>
      </c>
      <c r="AI59" s="280"/>
      <c r="AJ59" s="280"/>
      <c r="AK59" s="280"/>
      <c r="AL59" s="280"/>
      <c r="AM59" s="211" t="s">
        <v>177</v>
      </c>
      <c r="AN59" s="211"/>
      <c r="AO59" s="120" t="s">
        <v>28</v>
      </c>
      <c r="AP59" s="281">
        <f>график!F9</f>
        <v>1.0344</v>
      </c>
      <c r="AQ59" s="281"/>
      <c r="AR59" s="281"/>
      <c r="AS59" s="281"/>
      <c r="AT59" s="211" t="s">
        <v>178</v>
      </c>
      <c r="AU59" s="211"/>
      <c r="AV59" s="120" t="s">
        <v>28</v>
      </c>
      <c r="AW59" s="212">
        <f>график!G9</f>
        <v>1.0085</v>
      </c>
      <c r="AX59" s="212"/>
      <c r="AY59" s="212"/>
      <c r="AZ59" s="213"/>
      <c r="BA59" s="320"/>
      <c r="BB59" s="321"/>
      <c r="BC59" s="321"/>
      <c r="BD59" s="321"/>
      <c r="BE59" s="321"/>
      <c r="BF59" s="321"/>
      <c r="BG59" s="321"/>
      <c r="BH59" s="322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48"/>
    </row>
    <row r="60" spans="1:106" s="117" customFormat="1" ht="12" customHeight="1" x14ac:dyDescent="0.25">
      <c r="A60" s="270" t="s">
        <v>198</v>
      </c>
      <c r="B60" s="271"/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2"/>
      <c r="X60" s="273" t="s">
        <v>39</v>
      </c>
      <c r="Y60" s="274"/>
      <c r="Z60" s="274"/>
      <c r="AA60" s="46" t="s">
        <v>28</v>
      </c>
      <c r="AB60" s="288">
        <v>1000</v>
      </c>
      <c r="AC60" s="288"/>
      <c r="AD60" s="288"/>
      <c r="AE60" s="288"/>
      <c r="AF60" s="282" t="s">
        <v>40</v>
      </c>
      <c r="AG60" s="274"/>
      <c r="AH60" s="274"/>
      <c r="AI60" s="274"/>
      <c r="AJ60" s="274"/>
      <c r="AK60" s="46" t="s">
        <v>28</v>
      </c>
      <c r="AL60" s="257">
        <v>9.8000000000000007</v>
      </c>
      <c r="AM60" s="258"/>
      <c r="AN60" s="258"/>
      <c r="AO60" s="258"/>
      <c r="AP60" s="258"/>
      <c r="AQ60" s="288"/>
      <c r="AR60" s="288"/>
      <c r="AS60" s="209" t="s">
        <v>192</v>
      </c>
      <c r="AT60" s="209"/>
      <c r="AU60" s="209"/>
      <c r="AV60" s="127" t="s">
        <v>28</v>
      </c>
      <c r="AW60" s="315">
        <v>0.2</v>
      </c>
      <c r="AX60" s="217"/>
      <c r="AY60" s="217"/>
      <c r="AZ60" s="218"/>
      <c r="BA60" s="219"/>
      <c r="BB60" s="220"/>
      <c r="BC60" s="220"/>
      <c r="BD60" s="220"/>
      <c r="BE60" s="220"/>
      <c r="BF60" s="221"/>
      <c r="BG60" s="221"/>
      <c r="BH60" s="222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48"/>
    </row>
    <row r="61" spans="1:106" s="117" customFormat="1" ht="12" customHeight="1" x14ac:dyDescent="0.2">
      <c r="A61" s="270"/>
      <c r="B61" s="271"/>
      <c r="C61" s="271"/>
      <c r="D61" s="271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2"/>
      <c r="X61" s="273" t="s">
        <v>43</v>
      </c>
      <c r="Y61" s="274"/>
      <c r="Z61" s="274"/>
      <c r="AA61" s="46" t="s">
        <v>28</v>
      </c>
      <c r="AB61" s="288">
        <v>5000</v>
      </c>
      <c r="AC61" s="288"/>
      <c r="AD61" s="288"/>
      <c r="AE61" s="288"/>
      <c r="AF61" s="282" t="s">
        <v>44</v>
      </c>
      <c r="AG61" s="274"/>
      <c r="AH61" s="274"/>
      <c r="AI61" s="274"/>
      <c r="AJ61" s="274"/>
      <c r="AK61" s="46" t="s">
        <v>28</v>
      </c>
      <c r="AL61" s="257">
        <v>12.8</v>
      </c>
      <c r="AM61" s="258"/>
      <c r="AN61" s="258"/>
      <c r="AO61" s="258"/>
      <c r="AP61" s="258"/>
      <c r="AQ61" s="137"/>
      <c r="AR61" s="137"/>
      <c r="AS61" s="137"/>
      <c r="AT61" s="137"/>
      <c r="AU61" s="137"/>
      <c r="AV61" s="137"/>
      <c r="AW61" s="137"/>
      <c r="AX61" s="137"/>
      <c r="AY61" s="137"/>
      <c r="AZ61" s="166"/>
      <c r="BA61" s="219"/>
      <c r="BB61" s="220"/>
      <c r="BC61" s="220"/>
      <c r="BD61" s="220"/>
      <c r="BE61" s="220"/>
      <c r="BF61" s="221"/>
      <c r="BG61" s="221"/>
      <c r="BH61" s="222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48"/>
    </row>
    <row r="62" spans="1:106" s="117" customFormat="1" ht="12" customHeight="1" x14ac:dyDescent="0.2">
      <c r="A62" s="270"/>
      <c r="B62" s="271"/>
      <c r="C62" s="271"/>
      <c r="D62" s="271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2"/>
      <c r="X62" s="259" t="s">
        <v>22</v>
      </c>
      <c r="Y62" s="260"/>
      <c r="Z62" s="260"/>
      <c r="AA62" s="123" t="s">
        <v>28</v>
      </c>
      <c r="AB62" s="217" t="str">
        <f>CONCATENATE(AL60," + [(",AL61," - ", AL60,") / (",AB61," - ", AB60,")] x (",D63," - ",AB60,") x ",AW60," = ")</f>
        <v xml:space="preserve">9,8 + [(12,8 - 9,8) / (5000 - 1000)] x (3310 - 1000) x 0,2 = </v>
      </c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8"/>
      <c r="BA62" s="219">
        <f>ROUND((AL60 + ((AL61-AL60) / (AB61-AB60)) * (D63-AB60))*AW60,2)</f>
        <v>2.31</v>
      </c>
      <c r="BB62" s="220"/>
      <c r="BC62" s="220"/>
      <c r="BD62" s="220"/>
      <c r="BE62" s="220"/>
      <c r="BF62" s="221" t="s">
        <v>182</v>
      </c>
      <c r="BG62" s="221"/>
      <c r="BH62" s="222"/>
      <c r="BI62" s="116"/>
      <c r="BJ62" s="175" t="s">
        <v>195</v>
      </c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48"/>
    </row>
    <row r="63" spans="1:106" s="117" customFormat="1" ht="12" customHeight="1" x14ac:dyDescent="0.25">
      <c r="A63" s="223" t="s">
        <v>189</v>
      </c>
      <c r="B63" s="224"/>
      <c r="C63" s="142" t="s">
        <v>28</v>
      </c>
      <c r="D63" s="225">
        <f>D57</f>
        <v>3310</v>
      </c>
      <c r="E63" s="225"/>
      <c r="F63" s="225"/>
      <c r="G63" s="225"/>
      <c r="H63" s="225"/>
      <c r="I63" s="226" t="s">
        <v>256</v>
      </c>
      <c r="J63" s="226"/>
      <c r="K63" s="226"/>
      <c r="L63" s="226"/>
      <c r="M63" s="226"/>
      <c r="N63" s="226"/>
      <c r="O63" s="149"/>
      <c r="P63" s="149"/>
      <c r="Q63" s="149"/>
      <c r="R63" s="224"/>
      <c r="S63" s="224"/>
      <c r="T63" s="142"/>
      <c r="U63" s="227"/>
      <c r="V63" s="226"/>
      <c r="W63" s="228"/>
      <c r="X63" s="229" t="s">
        <v>181</v>
      </c>
      <c r="Y63" s="230"/>
      <c r="Z63" s="230"/>
      <c r="AA63" s="126" t="s">
        <v>28</v>
      </c>
      <c r="AB63" s="231" t="str">
        <f>CONCATENATE(BA62," x ",$AO$17," x ", AP59," x [1 + 0,5 x (",AW59," - 1)]  = ")</f>
        <v xml:space="preserve">2,31 x 307,7 x 1,0344 x [1 + 0,5 x (1,0085 - 1)]  = </v>
      </c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2"/>
      <c r="BA63" s="233">
        <f>ROUND(BA62*$AO$17*AP59*(1+0.5*(AW59-1)),2)</f>
        <v>738.36</v>
      </c>
      <c r="BB63" s="234"/>
      <c r="BC63" s="234"/>
      <c r="BD63" s="234"/>
      <c r="BE63" s="234"/>
      <c r="BF63" s="235" t="s">
        <v>23</v>
      </c>
      <c r="BG63" s="235"/>
      <c r="BH63" s="23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48"/>
    </row>
    <row r="64" spans="1:106" s="119" customFormat="1" ht="12" customHeight="1" x14ac:dyDescent="0.2">
      <c r="A64" s="370" t="str">
        <f>график!A10</f>
        <v>2.3</v>
      </c>
      <c r="B64" s="371"/>
      <c r="C64" s="309" t="str">
        <f>график!B10</f>
        <v>разработка и согласование бизнес-плана инвестиционного проекта</v>
      </c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10" t="s">
        <v>265</v>
      </c>
      <c r="BB64" s="310"/>
      <c r="BC64" s="310"/>
      <c r="BD64" s="310"/>
      <c r="BE64" s="310"/>
      <c r="BF64" s="310"/>
      <c r="BG64" s="310"/>
      <c r="BH64" s="311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146"/>
      <c r="BV64" s="146"/>
      <c r="BW64" s="146"/>
      <c r="BX64" s="146"/>
      <c r="BY64" s="146"/>
      <c r="BZ64" s="146"/>
      <c r="CA64" s="146"/>
      <c r="CB64" s="146"/>
      <c r="CC64" s="146"/>
      <c r="CD64" s="146"/>
      <c r="CE64" s="146"/>
      <c r="CF64" s="146"/>
      <c r="CG64" s="146"/>
      <c r="CH64" s="146"/>
      <c r="CI64" s="146"/>
      <c r="CJ64" s="146"/>
      <c r="CK64" s="146"/>
      <c r="CL64" s="146"/>
      <c r="CM64" s="146"/>
      <c r="CN64" s="146"/>
      <c r="CO64" s="146"/>
      <c r="CP64" s="146"/>
      <c r="CQ64" s="146"/>
      <c r="CR64" s="146"/>
      <c r="CS64" s="146"/>
      <c r="CT64" s="146"/>
      <c r="CU64" s="146"/>
      <c r="CV64" s="146"/>
      <c r="CW64" s="146"/>
      <c r="CX64" s="146"/>
      <c r="CY64" s="146"/>
      <c r="CZ64" s="146"/>
      <c r="DA64" s="146"/>
      <c r="DB64" s="147"/>
    </row>
    <row r="65" spans="1:106" s="117" customFormat="1" ht="12" customHeight="1" x14ac:dyDescent="0.25">
      <c r="A65" s="237" t="s">
        <v>193</v>
      </c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9"/>
      <c r="X65" s="275" t="s">
        <v>45</v>
      </c>
      <c r="Y65" s="276"/>
      <c r="Z65" s="276"/>
      <c r="AA65" s="276"/>
      <c r="AB65" s="277" t="str">
        <f>график!C10</f>
        <v>окт 2023</v>
      </c>
      <c r="AC65" s="278"/>
      <c r="AD65" s="278"/>
      <c r="AE65" s="278"/>
      <c r="AF65" s="278"/>
      <c r="AG65" s="122" t="s">
        <v>1</v>
      </c>
      <c r="AH65" s="279" t="str">
        <f>график!E10</f>
        <v>ноя 2023</v>
      </c>
      <c r="AI65" s="280"/>
      <c r="AJ65" s="280"/>
      <c r="AK65" s="280"/>
      <c r="AL65" s="280"/>
      <c r="AM65" s="211" t="s">
        <v>177</v>
      </c>
      <c r="AN65" s="211"/>
      <c r="AO65" s="120" t="s">
        <v>28</v>
      </c>
      <c r="AP65" s="281">
        <f>график!F10</f>
        <v>1.0257000000000001</v>
      </c>
      <c r="AQ65" s="281"/>
      <c r="AR65" s="281"/>
      <c r="AS65" s="281"/>
      <c r="AT65" s="211" t="s">
        <v>178</v>
      </c>
      <c r="AU65" s="211"/>
      <c r="AV65" s="120" t="s">
        <v>28</v>
      </c>
      <c r="AW65" s="212">
        <f>график!G10</f>
        <v>1.0170999999999999</v>
      </c>
      <c r="AX65" s="212"/>
      <c r="AY65" s="212"/>
      <c r="AZ65" s="213"/>
      <c r="BA65" s="320"/>
      <c r="BB65" s="321"/>
      <c r="BC65" s="321"/>
      <c r="BD65" s="321"/>
      <c r="BE65" s="321"/>
      <c r="BF65" s="321"/>
      <c r="BG65" s="321"/>
      <c r="BH65" s="322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48"/>
    </row>
    <row r="66" spans="1:106" s="117" customFormat="1" ht="12" customHeight="1" x14ac:dyDescent="0.25">
      <c r="A66" s="270" t="s">
        <v>198</v>
      </c>
      <c r="B66" s="271"/>
      <c r="C66" s="271"/>
      <c r="D66" s="271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1"/>
      <c r="V66" s="271"/>
      <c r="W66" s="272"/>
      <c r="X66" s="273" t="s">
        <v>39</v>
      </c>
      <c r="Y66" s="274"/>
      <c r="Z66" s="274"/>
      <c r="AA66" s="46" t="s">
        <v>28</v>
      </c>
      <c r="AB66" s="288">
        <v>1000</v>
      </c>
      <c r="AC66" s="288"/>
      <c r="AD66" s="288"/>
      <c r="AE66" s="288"/>
      <c r="AF66" s="282" t="s">
        <v>40</v>
      </c>
      <c r="AG66" s="274"/>
      <c r="AH66" s="274"/>
      <c r="AI66" s="274"/>
      <c r="AJ66" s="274"/>
      <c r="AK66" s="46" t="s">
        <v>28</v>
      </c>
      <c r="AL66" s="257">
        <v>9.8000000000000007</v>
      </c>
      <c r="AM66" s="258"/>
      <c r="AN66" s="258"/>
      <c r="AO66" s="258"/>
      <c r="AP66" s="258"/>
      <c r="AQ66" s="288"/>
      <c r="AR66" s="288"/>
      <c r="AS66" s="209" t="s">
        <v>192</v>
      </c>
      <c r="AT66" s="209"/>
      <c r="AU66" s="209"/>
      <c r="AV66" s="127" t="s">
        <v>28</v>
      </c>
      <c r="AW66" s="315">
        <v>0.65</v>
      </c>
      <c r="AX66" s="217"/>
      <c r="AY66" s="217"/>
      <c r="AZ66" s="218"/>
      <c r="BA66" s="219"/>
      <c r="BB66" s="220"/>
      <c r="BC66" s="220"/>
      <c r="BD66" s="220"/>
      <c r="BE66" s="220"/>
      <c r="BF66" s="221"/>
      <c r="BG66" s="221"/>
      <c r="BH66" s="222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48"/>
    </row>
    <row r="67" spans="1:106" s="117" customFormat="1" ht="12" customHeight="1" x14ac:dyDescent="0.2">
      <c r="A67" s="270"/>
      <c r="B67" s="271"/>
      <c r="C67" s="271"/>
      <c r="D67" s="271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272"/>
      <c r="X67" s="273" t="s">
        <v>43</v>
      </c>
      <c r="Y67" s="274"/>
      <c r="Z67" s="274"/>
      <c r="AA67" s="46" t="s">
        <v>28</v>
      </c>
      <c r="AB67" s="288">
        <v>5000</v>
      </c>
      <c r="AC67" s="288"/>
      <c r="AD67" s="288"/>
      <c r="AE67" s="288"/>
      <c r="AF67" s="282" t="s">
        <v>44</v>
      </c>
      <c r="AG67" s="274"/>
      <c r="AH67" s="274"/>
      <c r="AI67" s="274"/>
      <c r="AJ67" s="274"/>
      <c r="AK67" s="46" t="s">
        <v>28</v>
      </c>
      <c r="AL67" s="257">
        <v>12.8</v>
      </c>
      <c r="AM67" s="258"/>
      <c r="AN67" s="258"/>
      <c r="AO67" s="258"/>
      <c r="AP67" s="258"/>
      <c r="AQ67" s="137"/>
      <c r="AR67" s="137"/>
      <c r="AS67" s="137"/>
      <c r="AT67" s="137"/>
      <c r="AU67" s="137"/>
      <c r="AV67" s="137"/>
      <c r="AW67" s="137"/>
      <c r="AX67" s="137"/>
      <c r="AY67" s="137"/>
      <c r="AZ67" s="166"/>
      <c r="BA67" s="219"/>
      <c r="BB67" s="220"/>
      <c r="BC67" s="220"/>
      <c r="BD67" s="220"/>
      <c r="BE67" s="220"/>
      <c r="BF67" s="221"/>
      <c r="BG67" s="221"/>
      <c r="BH67" s="222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48"/>
    </row>
    <row r="68" spans="1:106" s="117" customFormat="1" ht="12" customHeight="1" x14ac:dyDescent="0.2">
      <c r="A68" s="270"/>
      <c r="B68" s="271"/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1"/>
      <c r="V68" s="271"/>
      <c r="W68" s="272"/>
      <c r="X68" s="259" t="s">
        <v>22</v>
      </c>
      <c r="Y68" s="260"/>
      <c r="Z68" s="260"/>
      <c r="AA68" s="123" t="s">
        <v>28</v>
      </c>
      <c r="AB68" s="217" t="str">
        <f>CONCATENATE(AL66," + [(",AL67," - ", AL66,") / (",AB67," - ", AB66,")] x (",D69," - ",AB66,") x ",AW66," = ")</f>
        <v xml:space="preserve">9,8 + [(12,8 - 9,8) / (5000 - 1000)] x (3310 - 1000) x 0,65 = </v>
      </c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8"/>
      <c r="BA68" s="219">
        <f>ROUND((AL66 + ((AL67-AL66) / (AB67-AB66)) * (D69-AB66))*AW66,2)</f>
        <v>7.5</v>
      </c>
      <c r="BB68" s="220"/>
      <c r="BC68" s="220"/>
      <c r="BD68" s="220"/>
      <c r="BE68" s="220"/>
      <c r="BF68" s="221" t="s">
        <v>182</v>
      </c>
      <c r="BG68" s="221"/>
      <c r="BH68" s="222"/>
      <c r="BI68" s="116"/>
      <c r="BJ68" s="175" t="s">
        <v>195</v>
      </c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48"/>
    </row>
    <row r="69" spans="1:106" s="117" customFormat="1" ht="12" customHeight="1" x14ac:dyDescent="0.25">
      <c r="A69" s="223" t="s">
        <v>189</v>
      </c>
      <c r="B69" s="224"/>
      <c r="C69" s="142" t="s">
        <v>28</v>
      </c>
      <c r="D69" s="225">
        <f>D57</f>
        <v>3310</v>
      </c>
      <c r="E69" s="225"/>
      <c r="F69" s="225"/>
      <c r="G69" s="225"/>
      <c r="H69" s="225"/>
      <c r="I69" s="226" t="s">
        <v>256</v>
      </c>
      <c r="J69" s="226"/>
      <c r="K69" s="226"/>
      <c r="L69" s="226"/>
      <c r="M69" s="226"/>
      <c r="N69" s="226"/>
      <c r="O69" s="149"/>
      <c r="P69" s="149"/>
      <c r="Q69" s="149"/>
      <c r="R69" s="224"/>
      <c r="S69" s="224"/>
      <c r="T69" s="142"/>
      <c r="U69" s="227"/>
      <c r="V69" s="226"/>
      <c r="W69" s="228"/>
      <c r="X69" s="229" t="s">
        <v>181</v>
      </c>
      <c r="Y69" s="230"/>
      <c r="Z69" s="230"/>
      <c r="AA69" s="126" t="s">
        <v>28</v>
      </c>
      <c r="AB69" s="231" t="str">
        <f>CONCATENATE(BA68," x ",$AO$17," x ", AP65," x [1 + 0,5 x (",AW65," - 1)]  = ")</f>
        <v xml:space="preserve">7,5 x 307,7 x 1,0257 x [1 + 0,5 x (1,0171 - 1)]  = </v>
      </c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231"/>
      <c r="AW69" s="231"/>
      <c r="AX69" s="231"/>
      <c r="AY69" s="231"/>
      <c r="AZ69" s="232"/>
      <c r="BA69" s="233">
        <f>ROUND(BA68*$AO$17*AP65*(1+0.5*(AW65-1)),2)</f>
        <v>2387.3000000000002</v>
      </c>
      <c r="BB69" s="234"/>
      <c r="BC69" s="234"/>
      <c r="BD69" s="234"/>
      <c r="BE69" s="234"/>
      <c r="BF69" s="235" t="s">
        <v>23</v>
      </c>
      <c r="BG69" s="235"/>
      <c r="BH69" s="23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48"/>
    </row>
    <row r="70" spans="1:106" s="119" customFormat="1" ht="12" customHeight="1" x14ac:dyDescent="0.2">
      <c r="A70" s="370" t="str">
        <f>график!A11</f>
        <v>2.4</v>
      </c>
      <c r="B70" s="371"/>
      <c r="C70" s="309" t="str">
        <f>график!B11</f>
        <v>разработка и согласование задания на проектирование</v>
      </c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10" t="s">
        <v>265</v>
      </c>
      <c r="BB70" s="310"/>
      <c r="BC70" s="310"/>
      <c r="BD70" s="310"/>
      <c r="BE70" s="310"/>
      <c r="BF70" s="310"/>
      <c r="BG70" s="310"/>
      <c r="BH70" s="311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6"/>
      <c r="CF70" s="146"/>
      <c r="CG70" s="146"/>
      <c r="CH70" s="146"/>
      <c r="CI70" s="146"/>
      <c r="CJ70" s="146"/>
      <c r="CK70" s="146"/>
      <c r="CL70" s="146"/>
      <c r="CM70" s="146"/>
      <c r="CN70" s="146"/>
      <c r="CO70" s="146"/>
      <c r="CP70" s="146"/>
      <c r="CQ70" s="146"/>
      <c r="CR70" s="146"/>
      <c r="CS70" s="146"/>
      <c r="CT70" s="146"/>
      <c r="CU70" s="146"/>
      <c r="CV70" s="146"/>
      <c r="CW70" s="146"/>
      <c r="CX70" s="146"/>
      <c r="CY70" s="146"/>
      <c r="CZ70" s="146"/>
      <c r="DA70" s="146"/>
      <c r="DB70" s="147"/>
    </row>
    <row r="71" spans="1:106" s="117" customFormat="1" ht="12" customHeight="1" x14ac:dyDescent="0.25">
      <c r="A71" s="237" t="s">
        <v>194</v>
      </c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9"/>
      <c r="X71" s="275" t="s">
        <v>45</v>
      </c>
      <c r="Y71" s="276"/>
      <c r="Z71" s="276"/>
      <c r="AA71" s="276"/>
      <c r="AB71" s="277" t="str">
        <f>график!C11</f>
        <v>дек 2023</v>
      </c>
      <c r="AC71" s="278"/>
      <c r="AD71" s="278"/>
      <c r="AE71" s="278"/>
      <c r="AF71" s="278"/>
      <c r="AG71" s="122" t="s">
        <v>1</v>
      </c>
      <c r="AH71" s="279" t="str">
        <f>график!E11</f>
        <v>дек 2023</v>
      </c>
      <c r="AI71" s="280"/>
      <c r="AJ71" s="280"/>
      <c r="AK71" s="280"/>
      <c r="AL71" s="280"/>
      <c r="AM71" s="211" t="s">
        <v>177</v>
      </c>
      <c r="AN71" s="211"/>
      <c r="AO71" s="120" t="s">
        <v>28</v>
      </c>
      <c r="AP71" s="281">
        <f>график!F11</f>
        <v>1.0431999999999999</v>
      </c>
      <c r="AQ71" s="281"/>
      <c r="AR71" s="281"/>
      <c r="AS71" s="281"/>
      <c r="AT71" s="211" t="s">
        <v>178</v>
      </c>
      <c r="AU71" s="211"/>
      <c r="AV71" s="120" t="s">
        <v>28</v>
      </c>
      <c r="AW71" s="212">
        <f>график!G11</f>
        <v>1.0085</v>
      </c>
      <c r="AX71" s="212"/>
      <c r="AY71" s="212"/>
      <c r="AZ71" s="213"/>
      <c r="BA71" s="320"/>
      <c r="BB71" s="321"/>
      <c r="BC71" s="321"/>
      <c r="BD71" s="321"/>
      <c r="BE71" s="321"/>
      <c r="BF71" s="321"/>
      <c r="BG71" s="321"/>
      <c r="BH71" s="322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48"/>
    </row>
    <row r="72" spans="1:106" s="117" customFormat="1" ht="12" customHeight="1" x14ac:dyDescent="0.25">
      <c r="A72" s="270" t="s">
        <v>198</v>
      </c>
      <c r="B72" s="271"/>
      <c r="C72" s="271"/>
      <c r="D72" s="271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2"/>
      <c r="X72" s="273" t="s">
        <v>39</v>
      </c>
      <c r="Y72" s="274"/>
      <c r="Z72" s="274"/>
      <c r="AA72" s="46" t="s">
        <v>28</v>
      </c>
      <c r="AB72" s="288">
        <v>1000</v>
      </c>
      <c r="AC72" s="288"/>
      <c r="AD72" s="288"/>
      <c r="AE72" s="288"/>
      <c r="AF72" s="282" t="s">
        <v>40</v>
      </c>
      <c r="AG72" s="274"/>
      <c r="AH72" s="274"/>
      <c r="AI72" s="274"/>
      <c r="AJ72" s="274"/>
      <c r="AK72" s="46" t="s">
        <v>28</v>
      </c>
      <c r="AL72" s="257">
        <v>9.8000000000000007</v>
      </c>
      <c r="AM72" s="258"/>
      <c r="AN72" s="258"/>
      <c r="AO72" s="258"/>
      <c r="AP72" s="258"/>
      <c r="AQ72" s="288"/>
      <c r="AR72" s="288"/>
      <c r="AS72" s="209" t="s">
        <v>192</v>
      </c>
      <c r="AT72" s="209"/>
      <c r="AU72" s="209"/>
      <c r="AV72" s="127" t="s">
        <v>28</v>
      </c>
      <c r="AW72" s="315">
        <v>0.19</v>
      </c>
      <c r="AX72" s="217"/>
      <c r="AY72" s="217"/>
      <c r="AZ72" s="218"/>
      <c r="BA72" s="219"/>
      <c r="BB72" s="220"/>
      <c r="BC72" s="220"/>
      <c r="BD72" s="220"/>
      <c r="BE72" s="220"/>
      <c r="BF72" s="221"/>
      <c r="BG72" s="221"/>
      <c r="BH72" s="222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48"/>
    </row>
    <row r="73" spans="1:106" s="117" customFormat="1" ht="12" customHeight="1" x14ac:dyDescent="0.2">
      <c r="A73" s="270"/>
      <c r="B73" s="271"/>
      <c r="C73" s="271"/>
      <c r="D73" s="271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271"/>
      <c r="P73" s="271"/>
      <c r="Q73" s="271"/>
      <c r="R73" s="271"/>
      <c r="S73" s="271"/>
      <c r="T73" s="271"/>
      <c r="U73" s="271"/>
      <c r="V73" s="271"/>
      <c r="W73" s="272"/>
      <c r="X73" s="273" t="s">
        <v>43</v>
      </c>
      <c r="Y73" s="274"/>
      <c r="Z73" s="274"/>
      <c r="AA73" s="46" t="s">
        <v>28</v>
      </c>
      <c r="AB73" s="288">
        <v>5000</v>
      </c>
      <c r="AC73" s="288"/>
      <c r="AD73" s="288"/>
      <c r="AE73" s="288"/>
      <c r="AF73" s="282" t="s">
        <v>44</v>
      </c>
      <c r="AG73" s="274"/>
      <c r="AH73" s="274"/>
      <c r="AI73" s="274"/>
      <c r="AJ73" s="274"/>
      <c r="AK73" s="46" t="s">
        <v>28</v>
      </c>
      <c r="AL73" s="257">
        <v>12.8</v>
      </c>
      <c r="AM73" s="258"/>
      <c r="AN73" s="258"/>
      <c r="AO73" s="258"/>
      <c r="AP73" s="258"/>
      <c r="AQ73" s="137"/>
      <c r="AR73" s="137"/>
      <c r="AS73" s="137"/>
      <c r="AT73" s="137"/>
      <c r="AU73" s="137"/>
      <c r="AV73" s="137"/>
      <c r="AW73" s="137"/>
      <c r="AX73" s="137"/>
      <c r="AY73" s="137"/>
      <c r="AZ73" s="166"/>
      <c r="BA73" s="219"/>
      <c r="BB73" s="220"/>
      <c r="BC73" s="220"/>
      <c r="BD73" s="220"/>
      <c r="BE73" s="220"/>
      <c r="BF73" s="221"/>
      <c r="BG73" s="221"/>
      <c r="BH73" s="222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48"/>
    </row>
    <row r="74" spans="1:106" s="117" customFormat="1" ht="12" customHeight="1" x14ac:dyDescent="0.2">
      <c r="A74" s="270"/>
      <c r="B74" s="271"/>
      <c r="C74" s="271"/>
      <c r="D74" s="271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2"/>
      <c r="X74" s="259" t="s">
        <v>22</v>
      </c>
      <c r="Y74" s="260"/>
      <c r="Z74" s="260"/>
      <c r="AA74" s="123" t="s">
        <v>28</v>
      </c>
      <c r="AB74" s="217" t="str">
        <f>CONCATENATE(AL72," + [(",AL73," - ", AL72,") / (",AB73," - ", AB72,")] x (",D75," - ",AB72,") x ",AW72," = ")</f>
        <v xml:space="preserve">9,8 + [(12,8 - 9,8) / (5000 - 1000)] x (3310 - 1000) x 0,19 = </v>
      </c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8"/>
      <c r="BA74" s="219">
        <f>ROUND((AL72 + ((AL73-AL72) / (AB73-AB72)) * (D75-AB72))*AW72,2)</f>
        <v>2.19</v>
      </c>
      <c r="BB74" s="220"/>
      <c r="BC74" s="220"/>
      <c r="BD74" s="220"/>
      <c r="BE74" s="220"/>
      <c r="BF74" s="221" t="s">
        <v>182</v>
      </c>
      <c r="BG74" s="221"/>
      <c r="BH74" s="222"/>
      <c r="BI74" s="116"/>
      <c r="BJ74" s="175" t="s">
        <v>195</v>
      </c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48"/>
    </row>
    <row r="75" spans="1:106" s="117" customFormat="1" ht="12" customHeight="1" x14ac:dyDescent="0.25">
      <c r="A75" s="223" t="s">
        <v>189</v>
      </c>
      <c r="B75" s="224"/>
      <c r="C75" s="142" t="s">
        <v>28</v>
      </c>
      <c r="D75" s="225">
        <f>D57</f>
        <v>3310</v>
      </c>
      <c r="E75" s="225"/>
      <c r="F75" s="225"/>
      <c r="G75" s="225"/>
      <c r="H75" s="225"/>
      <c r="I75" s="226" t="s">
        <v>256</v>
      </c>
      <c r="J75" s="226"/>
      <c r="K75" s="226"/>
      <c r="L75" s="226"/>
      <c r="M75" s="226"/>
      <c r="N75" s="226"/>
      <c r="O75" s="149"/>
      <c r="P75" s="149"/>
      <c r="Q75" s="149"/>
      <c r="R75" s="224"/>
      <c r="S75" s="224"/>
      <c r="T75" s="142"/>
      <c r="U75" s="227"/>
      <c r="V75" s="226"/>
      <c r="W75" s="228"/>
      <c r="X75" s="229" t="s">
        <v>181</v>
      </c>
      <c r="Y75" s="230"/>
      <c r="Z75" s="230"/>
      <c r="AA75" s="126" t="s">
        <v>28</v>
      </c>
      <c r="AB75" s="231" t="str">
        <f>CONCATENATE(BA74," x ",$AO$17," x ", AP71," x [1 + 0,5 x (",AW71," - 1)]  = ")</f>
        <v xml:space="preserve">2,19 x 307,7 x 1,0432 x [1 + 0,5 x (1,0085 - 1)]  = </v>
      </c>
      <c r="AC75" s="231"/>
      <c r="AD75" s="231"/>
      <c r="AE75" s="231"/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  <c r="AZ75" s="232"/>
      <c r="BA75" s="233">
        <f>ROUND(BA74*$AO$17*AP71*(1+0.5*(AW71-1)),2)</f>
        <v>705.96</v>
      </c>
      <c r="BB75" s="234"/>
      <c r="BC75" s="234"/>
      <c r="BD75" s="234"/>
      <c r="BE75" s="234"/>
      <c r="BF75" s="235" t="s">
        <v>23</v>
      </c>
      <c r="BG75" s="235"/>
      <c r="BH75" s="23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48"/>
    </row>
    <row r="76" spans="1:106" ht="12" customHeight="1" x14ac:dyDescent="0.2">
      <c r="A76" s="167" t="s">
        <v>206</v>
      </c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9"/>
      <c r="AL76" s="169"/>
      <c r="AM76" s="169"/>
      <c r="AN76" s="169"/>
      <c r="AO76" s="169"/>
      <c r="AP76" s="169"/>
      <c r="AQ76" s="170"/>
      <c r="AR76" s="171"/>
      <c r="AS76" s="170"/>
      <c r="AT76" s="170"/>
      <c r="AU76" s="170"/>
      <c r="AV76" s="170"/>
      <c r="AW76" s="333" t="s">
        <v>22</v>
      </c>
      <c r="AX76" s="333"/>
      <c r="AY76" s="333"/>
      <c r="AZ76" s="172" t="s">
        <v>28</v>
      </c>
      <c r="BA76" s="368">
        <f>BA56+BA62+BA68+BA74</f>
        <v>23.53</v>
      </c>
      <c r="BB76" s="368"/>
      <c r="BC76" s="368"/>
      <c r="BD76" s="368"/>
      <c r="BE76" s="368"/>
      <c r="BF76" s="173" t="s">
        <v>182</v>
      </c>
      <c r="BG76" s="173"/>
      <c r="BH76" s="174"/>
    </row>
    <row r="77" spans="1:106" s="117" customFormat="1" ht="12" customHeight="1" x14ac:dyDescent="0.2">
      <c r="A77" s="262" t="s">
        <v>179</v>
      </c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140"/>
      <c r="Y77" s="140"/>
      <c r="Z77" s="140"/>
      <c r="AA77" s="140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4"/>
      <c r="AU77" s="144"/>
      <c r="AV77" s="145"/>
      <c r="AW77" s="264" t="s">
        <v>186</v>
      </c>
      <c r="AX77" s="264"/>
      <c r="AY77" s="264"/>
      <c r="AZ77" s="141" t="s">
        <v>28</v>
      </c>
      <c r="BA77" s="265">
        <f>BA57+BA63+BA69+BA75</f>
        <v>7470.92</v>
      </c>
      <c r="BB77" s="265"/>
      <c r="BC77" s="265"/>
      <c r="BD77" s="265"/>
      <c r="BE77" s="265"/>
      <c r="BF77" s="266" t="s">
        <v>23</v>
      </c>
      <c r="BG77" s="266"/>
      <c r="BH77" s="267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48"/>
    </row>
    <row r="78" spans="1:106" s="1" customFormat="1" ht="13.5" customHeight="1" x14ac:dyDescent="0.2">
      <c r="A78" s="328" t="str">
        <f>график!A12</f>
        <v>3</v>
      </c>
      <c r="B78" s="329"/>
      <c r="C78" s="330" t="str">
        <f>график!B12</f>
        <v>УСЛУГИ ПО ПОЛУЧЕНИЮ ЗЕМЕЛЬНОГО УЧАСТКА И РАЗРЕШИТЕЛЬНОЙ ДОКУМЕНТАЦИИ</v>
      </c>
      <c r="D78" s="331"/>
      <c r="E78" s="331"/>
      <c r="F78" s="331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331"/>
      <c r="BH78" s="332"/>
      <c r="BI78" s="116"/>
    </row>
    <row r="79" spans="1:106" s="119" customFormat="1" ht="12" customHeight="1" x14ac:dyDescent="0.2">
      <c r="A79" s="307" t="str">
        <f>график!A13</f>
        <v>3.1</v>
      </c>
      <c r="B79" s="308"/>
      <c r="C79" s="309" t="str">
        <f>график!B13</f>
        <v>организация процедуры получения земельного участка</v>
      </c>
      <c r="D79" s="309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10" t="s">
        <v>264</v>
      </c>
      <c r="BB79" s="310"/>
      <c r="BC79" s="310"/>
      <c r="BD79" s="310"/>
      <c r="BE79" s="310"/>
      <c r="BF79" s="310"/>
      <c r="BG79" s="310"/>
      <c r="BH79" s="311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6"/>
      <c r="CA79" s="146"/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6"/>
      <c r="DB79" s="147"/>
    </row>
    <row r="80" spans="1:106" s="117" customFormat="1" ht="12" customHeight="1" x14ac:dyDescent="0.25">
      <c r="A80" s="237" t="s">
        <v>196</v>
      </c>
      <c r="B80" s="238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9"/>
      <c r="X80" s="275" t="s">
        <v>45</v>
      </c>
      <c r="Y80" s="276"/>
      <c r="Z80" s="276"/>
      <c r="AA80" s="276"/>
      <c r="AB80" s="277" t="str">
        <f>график!C13</f>
        <v>ноя 2023</v>
      </c>
      <c r="AC80" s="278"/>
      <c r="AD80" s="278"/>
      <c r="AE80" s="278"/>
      <c r="AF80" s="278"/>
      <c r="AG80" s="122" t="s">
        <v>1</v>
      </c>
      <c r="AH80" s="279" t="str">
        <f>график!E13</f>
        <v>дек 2023</v>
      </c>
      <c r="AI80" s="280"/>
      <c r="AJ80" s="280"/>
      <c r="AK80" s="280"/>
      <c r="AL80" s="280"/>
      <c r="AM80" s="211" t="s">
        <v>177</v>
      </c>
      <c r="AN80" s="211"/>
      <c r="AO80" s="120" t="s">
        <v>28</v>
      </c>
      <c r="AP80" s="281">
        <f>график!F13</f>
        <v>1.0344</v>
      </c>
      <c r="AQ80" s="281"/>
      <c r="AR80" s="281"/>
      <c r="AS80" s="281"/>
      <c r="AT80" s="211" t="s">
        <v>178</v>
      </c>
      <c r="AU80" s="211"/>
      <c r="AV80" s="120" t="s">
        <v>28</v>
      </c>
      <c r="AW80" s="212">
        <f>график!G13</f>
        <v>1.0170999999999999</v>
      </c>
      <c r="AX80" s="212"/>
      <c r="AY80" s="212"/>
      <c r="AZ80" s="213"/>
      <c r="BA80" s="214"/>
      <c r="BB80" s="215"/>
      <c r="BC80" s="215"/>
      <c r="BD80" s="215"/>
      <c r="BE80" s="215"/>
      <c r="BF80" s="215"/>
      <c r="BG80" s="215"/>
      <c r="BH80" s="2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48"/>
    </row>
    <row r="81" spans="1:106" s="117" customFormat="1" ht="12" customHeight="1" x14ac:dyDescent="0.2">
      <c r="A81" s="359" t="s">
        <v>197</v>
      </c>
      <c r="B81" s="360"/>
      <c r="C81" s="360"/>
      <c r="D81" s="360"/>
      <c r="E81" s="360"/>
      <c r="F81" s="360"/>
      <c r="G81" s="360"/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1"/>
      <c r="X81" s="259" t="s">
        <v>22</v>
      </c>
      <c r="Y81" s="260"/>
      <c r="Z81" s="260"/>
      <c r="AA81" s="123" t="s">
        <v>28</v>
      </c>
      <c r="AB81" s="454">
        <v>6</v>
      </c>
      <c r="AC81" s="454"/>
      <c r="AD81" s="454"/>
      <c r="AE81" s="454"/>
      <c r="AF81" s="454"/>
      <c r="AG81" s="454"/>
      <c r="AH81" s="454"/>
      <c r="AI81" s="454"/>
      <c r="AJ81" s="454"/>
      <c r="AK81" s="454"/>
      <c r="AL81" s="454"/>
      <c r="AM81" s="454"/>
      <c r="AN81" s="454"/>
      <c r="AO81" s="454"/>
      <c r="AP81" s="454"/>
      <c r="AQ81" s="454"/>
      <c r="AR81" s="454"/>
      <c r="AS81" s="454"/>
      <c r="AT81" s="288"/>
      <c r="AU81" s="288"/>
      <c r="AV81" s="127"/>
      <c r="AW81" s="217"/>
      <c r="AX81" s="217"/>
      <c r="AY81" s="217"/>
      <c r="AZ81" s="218"/>
      <c r="BA81" s="219">
        <f>AB81</f>
        <v>6</v>
      </c>
      <c r="BB81" s="220"/>
      <c r="BC81" s="220"/>
      <c r="BD81" s="220"/>
      <c r="BE81" s="220"/>
      <c r="BF81" s="221" t="s">
        <v>182</v>
      </c>
      <c r="BG81" s="221"/>
      <c r="BH81" s="222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48"/>
    </row>
    <row r="82" spans="1:106" s="117" customFormat="1" ht="12" customHeight="1" x14ac:dyDescent="0.2">
      <c r="A82" s="362" t="s">
        <v>179</v>
      </c>
      <c r="B82" s="363"/>
      <c r="C82" s="363"/>
      <c r="D82" s="363"/>
      <c r="E82" s="363"/>
      <c r="F82" s="363"/>
      <c r="G82" s="363"/>
      <c r="H82" s="363"/>
      <c r="I82" s="363"/>
      <c r="J82" s="363"/>
      <c r="K82" s="363"/>
      <c r="L82" s="363"/>
      <c r="M82" s="363"/>
      <c r="N82" s="363"/>
      <c r="O82" s="363"/>
      <c r="P82" s="363"/>
      <c r="Q82" s="121"/>
      <c r="R82" s="364"/>
      <c r="S82" s="364"/>
      <c r="T82" s="176"/>
      <c r="U82" s="365"/>
      <c r="V82" s="366"/>
      <c r="W82" s="367"/>
      <c r="X82" s="259" t="s">
        <v>181</v>
      </c>
      <c r="Y82" s="260"/>
      <c r="Z82" s="260"/>
      <c r="AA82" s="123" t="s">
        <v>28</v>
      </c>
      <c r="AB82" s="217" t="str">
        <f>CONCATENATE(AB81," x ",$AO$17," x ", AP80," x [1 + 0,5 x (",AW80," - 1)]  = ")</f>
        <v xml:space="preserve">6 x 307,7 x 1,0344 x [1 + 0,5 x (1,0171 - 1)]  = </v>
      </c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8"/>
      <c r="BA82" s="219">
        <f>ROUND(AB81*$AO$17*AP80*(1+0.5*(AW80-1)),2)</f>
        <v>1926.04</v>
      </c>
      <c r="BB82" s="220"/>
      <c r="BC82" s="220"/>
      <c r="BD82" s="220"/>
      <c r="BE82" s="220"/>
      <c r="BF82" s="221" t="s">
        <v>23</v>
      </c>
      <c r="BG82" s="221"/>
      <c r="BH82" s="222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48"/>
    </row>
    <row r="83" spans="1:106" s="119" customFormat="1" ht="12" customHeight="1" x14ac:dyDescent="0.2">
      <c r="A83" s="307" t="str">
        <f>график!A14</f>
        <v>3.2</v>
      </c>
      <c r="B83" s="308"/>
      <c r="C83" s="309" t="str">
        <f>график!B14</f>
        <v>организация получения и анализа разрешительной документации</v>
      </c>
      <c r="D83" s="309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  <c r="AD83" s="309"/>
      <c r="AE83" s="309"/>
      <c r="AF83" s="309"/>
      <c r="AG83" s="309"/>
      <c r="AH83" s="309"/>
      <c r="AI83" s="309"/>
      <c r="AJ83" s="309"/>
      <c r="AK83" s="309"/>
      <c r="AL83" s="309"/>
      <c r="AM83" s="309"/>
      <c r="AN83" s="309"/>
      <c r="AO83" s="309"/>
      <c r="AP83" s="309"/>
      <c r="AQ83" s="309"/>
      <c r="AR83" s="309"/>
      <c r="AS83" s="309"/>
      <c r="AT83" s="309"/>
      <c r="AU83" s="309"/>
      <c r="AV83" s="309"/>
      <c r="AW83" s="309"/>
      <c r="AX83" s="309"/>
      <c r="AY83" s="309"/>
      <c r="AZ83" s="309"/>
      <c r="BA83" s="335" t="s">
        <v>264</v>
      </c>
      <c r="BB83" s="335"/>
      <c r="BC83" s="335"/>
      <c r="BD83" s="335"/>
      <c r="BE83" s="335"/>
      <c r="BF83" s="335"/>
      <c r="BG83" s="335"/>
      <c r="BH83" s="336"/>
      <c r="BI83" s="146"/>
      <c r="BJ83" s="146"/>
      <c r="BK83" s="146"/>
      <c r="BL83" s="146"/>
      <c r="BM83" s="146"/>
      <c r="BN83" s="146"/>
      <c r="BO83" s="146"/>
      <c r="BP83" s="146"/>
      <c r="BQ83" s="146"/>
      <c r="BR83" s="146"/>
      <c r="BS83" s="146"/>
      <c r="BT83" s="146"/>
      <c r="BU83" s="146"/>
      <c r="BV83" s="146"/>
      <c r="BW83" s="146"/>
      <c r="BX83" s="146"/>
      <c r="BY83" s="146"/>
      <c r="BZ83" s="146"/>
      <c r="CA83" s="146"/>
      <c r="CB83" s="146"/>
      <c r="CC83" s="146"/>
      <c r="CD83" s="146"/>
      <c r="CE83" s="146"/>
      <c r="CF83" s="146"/>
      <c r="CG83" s="146"/>
      <c r="CH83" s="146"/>
      <c r="CI83" s="146"/>
      <c r="CJ83" s="146"/>
      <c r="CK83" s="146"/>
      <c r="CL83" s="146"/>
      <c r="CM83" s="146"/>
      <c r="CN83" s="146"/>
      <c r="CO83" s="146"/>
      <c r="CP83" s="146"/>
      <c r="CQ83" s="146"/>
      <c r="CR83" s="146"/>
      <c r="CS83" s="146"/>
      <c r="CT83" s="146"/>
      <c r="CU83" s="146"/>
      <c r="CV83" s="146"/>
      <c r="CW83" s="146"/>
      <c r="CX83" s="146"/>
      <c r="CY83" s="146"/>
      <c r="CZ83" s="146"/>
      <c r="DA83" s="146"/>
      <c r="DB83" s="147"/>
    </row>
    <row r="84" spans="1:106" s="117" customFormat="1" ht="12" customHeight="1" x14ac:dyDescent="0.25">
      <c r="A84" s="237" t="s">
        <v>199</v>
      </c>
      <c r="B84" s="238"/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9"/>
      <c r="X84" s="275" t="s">
        <v>45</v>
      </c>
      <c r="Y84" s="276"/>
      <c r="Z84" s="276"/>
      <c r="AA84" s="276"/>
      <c r="AB84" s="277" t="str">
        <f>график!C14</f>
        <v>дек 2023</v>
      </c>
      <c r="AC84" s="278"/>
      <c r="AD84" s="278"/>
      <c r="AE84" s="278"/>
      <c r="AF84" s="278"/>
      <c r="AG84" s="122" t="s">
        <v>1</v>
      </c>
      <c r="AH84" s="279" t="str">
        <f>график!E14</f>
        <v>янв 2024</v>
      </c>
      <c r="AI84" s="280"/>
      <c r="AJ84" s="280"/>
      <c r="AK84" s="280"/>
      <c r="AL84" s="280"/>
      <c r="AM84" s="211" t="s">
        <v>177</v>
      </c>
      <c r="AN84" s="211"/>
      <c r="AO84" s="120" t="s">
        <v>28</v>
      </c>
      <c r="AP84" s="281">
        <f>график!F14</f>
        <v>1.0431999999999999</v>
      </c>
      <c r="AQ84" s="281"/>
      <c r="AR84" s="281"/>
      <c r="AS84" s="281"/>
      <c r="AT84" s="211" t="s">
        <v>178</v>
      </c>
      <c r="AU84" s="211"/>
      <c r="AV84" s="120" t="s">
        <v>28</v>
      </c>
      <c r="AW84" s="212">
        <f>график!G14</f>
        <v>1.0153000000000001</v>
      </c>
      <c r="AX84" s="212"/>
      <c r="AY84" s="212"/>
      <c r="AZ84" s="213"/>
      <c r="BA84" s="214"/>
      <c r="BB84" s="215"/>
      <c r="BC84" s="215"/>
      <c r="BD84" s="215"/>
      <c r="BE84" s="215"/>
      <c r="BF84" s="215"/>
      <c r="BG84" s="215"/>
      <c r="BH84" s="2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48"/>
    </row>
    <row r="85" spans="1:106" s="117" customFormat="1" ht="12" customHeight="1" x14ac:dyDescent="0.2">
      <c r="A85" s="359" t="s">
        <v>197</v>
      </c>
      <c r="B85" s="360"/>
      <c r="C85" s="360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0"/>
      <c r="W85" s="361"/>
      <c r="X85" s="259" t="s">
        <v>22</v>
      </c>
      <c r="Y85" s="260"/>
      <c r="Z85" s="260"/>
      <c r="AA85" s="123" t="s">
        <v>28</v>
      </c>
      <c r="AB85" s="454">
        <v>4.5</v>
      </c>
      <c r="AC85" s="454"/>
      <c r="AD85" s="454"/>
      <c r="AE85" s="454"/>
      <c r="AF85" s="454"/>
      <c r="AG85" s="454"/>
      <c r="AH85" s="454"/>
      <c r="AI85" s="454"/>
      <c r="AJ85" s="454"/>
      <c r="AK85" s="454"/>
      <c r="AL85" s="454"/>
      <c r="AM85" s="454"/>
      <c r="AN85" s="454"/>
      <c r="AO85" s="454"/>
      <c r="AP85" s="454"/>
      <c r="AQ85" s="454"/>
      <c r="AR85" s="454"/>
      <c r="AS85" s="454"/>
      <c r="AT85" s="288"/>
      <c r="AU85" s="288"/>
      <c r="AV85" s="127"/>
      <c r="AW85" s="217"/>
      <c r="AX85" s="217"/>
      <c r="AY85" s="217"/>
      <c r="AZ85" s="218"/>
      <c r="BA85" s="219">
        <f>AB85</f>
        <v>4.5</v>
      </c>
      <c r="BB85" s="220"/>
      <c r="BC85" s="220"/>
      <c r="BD85" s="220"/>
      <c r="BE85" s="220"/>
      <c r="BF85" s="221" t="s">
        <v>182</v>
      </c>
      <c r="BG85" s="221"/>
      <c r="BH85" s="222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48"/>
    </row>
    <row r="86" spans="1:106" s="117" customFormat="1" ht="12" customHeight="1" x14ac:dyDescent="0.2">
      <c r="A86" s="362" t="s">
        <v>179</v>
      </c>
      <c r="B86" s="363"/>
      <c r="C86" s="363"/>
      <c r="D86" s="363"/>
      <c r="E86" s="363"/>
      <c r="F86" s="363"/>
      <c r="G86" s="363"/>
      <c r="H86" s="363"/>
      <c r="I86" s="363"/>
      <c r="J86" s="363"/>
      <c r="K86" s="363"/>
      <c r="L86" s="363"/>
      <c r="M86" s="363"/>
      <c r="N86" s="363"/>
      <c r="O86" s="363"/>
      <c r="P86" s="363"/>
      <c r="Q86" s="121"/>
      <c r="R86" s="364"/>
      <c r="S86" s="364"/>
      <c r="T86" s="176"/>
      <c r="U86" s="365"/>
      <c r="V86" s="366"/>
      <c r="W86" s="367"/>
      <c r="X86" s="259" t="s">
        <v>181</v>
      </c>
      <c r="Y86" s="260"/>
      <c r="Z86" s="260"/>
      <c r="AA86" s="123" t="s">
        <v>28</v>
      </c>
      <c r="AB86" s="217" t="str">
        <f>CONCATENATE(AB85," x ",$AO$17," x ", AP84," x [1 + 0,5 x (",AW84," - 1)]  = ")</f>
        <v xml:space="preserve">4,5 x 307,7 x 1,0432 x [1 + 0,5 x (1,0153 - 1)]  = </v>
      </c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8"/>
      <c r="BA86" s="219">
        <f>ROUND(AB85*$AO$17*AP84*(1+0.5*(AW84-1)),2)</f>
        <v>1455.52</v>
      </c>
      <c r="BB86" s="220"/>
      <c r="BC86" s="220"/>
      <c r="BD86" s="220"/>
      <c r="BE86" s="220"/>
      <c r="BF86" s="221" t="s">
        <v>23</v>
      </c>
      <c r="BG86" s="221"/>
      <c r="BH86" s="222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48"/>
    </row>
    <row r="87" spans="1:106" ht="12" customHeight="1" x14ac:dyDescent="0.2">
      <c r="A87" s="132" t="s">
        <v>207</v>
      </c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4"/>
      <c r="AL87" s="134"/>
      <c r="AM87" s="134"/>
      <c r="AN87" s="134"/>
      <c r="AO87" s="134"/>
      <c r="AP87" s="134"/>
      <c r="AQ87" s="135"/>
      <c r="AR87" s="136"/>
      <c r="AS87" s="135"/>
      <c r="AT87" s="135"/>
      <c r="AU87" s="135"/>
      <c r="AV87" s="135"/>
      <c r="AW87" s="240" t="s">
        <v>22</v>
      </c>
      <c r="AX87" s="240"/>
      <c r="AY87" s="240"/>
      <c r="AZ87" s="188" t="s">
        <v>28</v>
      </c>
      <c r="BA87" s="241">
        <f>BA85+BA81</f>
        <v>10.5</v>
      </c>
      <c r="BB87" s="241"/>
      <c r="BC87" s="241"/>
      <c r="BD87" s="241"/>
      <c r="BE87" s="241"/>
      <c r="BF87" s="189" t="s">
        <v>182</v>
      </c>
      <c r="BG87" s="189"/>
      <c r="BH87" s="190"/>
    </row>
    <row r="88" spans="1:106" s="117" customFormat="1" ht="12" customHeight="1" x14ac:dyDescent="0.2">
      <c r="A88" s="262" t="s">
        <v>179</v>
      </c>
      <c r="B88" s="263"/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140"/>
      <c r="Y88" s="140"/>
      <c r="Z88" s="140"/>
      <c r="AA88" s="140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4"/>
      <c r="AU88" s="144"/>
      <c r="AV88" s="145"/>
      <c r="AW88" s="264" t="s">
        <v>186</v>
      </c>
      <c r="AX88" s="264"/>
      <c r="AY88" s="264"/>
      <c r="AZ88" s="141" t="s">
        <v>28</v>
      </c>
      <c r="BA88" s="265">
        <f>BA86+BA82</f>
        <v>3381.56</v>
      </c>
      <c r="BB88" s="265"/>
      <c r="BC88" s="265"/>
      <c r="BD88" s="265"/>
      <c r="BE88" s="265"/>
      <c r="BF88" s="266" t="s">
        <v>23</v>
      </c>
      <c r="BG88" s="266"/>
      <c r="BH88" s="267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48"/>
    </row>
    <row r="89" spans="1:106" s="1" customFormat="1" ht="13.5" customHeight="1" x14ac:dyDescent="0.2">
      <c r="A89" s="328" t="str">
        <f>график!A15</f>
        <v>4</v>
      </c>
      <c r="B89" s="329"/>
      <c r="C89" s="330" t="str">
        <f>график!B15</f>
        <v>УСЛУГИ ПО ОРГАНИЗАЦИИ РАЗРАБОТКИ ДОКУМЕНТАЦИИ ПРОЕКТНОГО ОБЕСПЕЧЕНИЯ СТРОИТЕЛЬНОЙ ДЕЯТЕЛЬНОСТИ</v>
      </c>
      <c r="D89" s="331"/>
      <c r="E89" s="331"/>
      <c r="F89" s="331"/>
      <c r="G89" s="331"/>
      <c r="H89" s="331"/>
      <c r="I89" s="331"/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331"/>
      <c r="BH89" s="332"/>
      <c r="BI89" s="116"/>
    </row>
    <row r="90" spans="1:106" s="119" customFormat="1" ht="12" customHeight="1" x14ac:dyDescent="0.2">
      <c r="A90" s="307" t="str">
        <f>график!A16</f>
        <v>4.1</v>
      </c>
      <c r="B90" s="308"/>
      <c r="C90" s="309" t="str">
        <f>график!B16</f>
        <v>обеспечение общего руководства проектированием и планированием строительства</v>
      </c>
      <c r="D90" s="309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09"/>
      <c r="AP90" s="309"/>
      <c r="AQ90" s="309"/>
      <c r="AR90" s="309"/>
      <c r="AS90" s="309"/>
      <c r="AT90" s="309"/>
      <c r="AU90" s="309"/>
      <c r="AV90" s="309"/>
      <c r="AW90" s="309"/>
      <c r="AX90" s="309"/>
      <c r="AY90" s="309"/>
      <c r="AZ90" s="309"/>
      <c r="BA90" s="310" t="s">
        <v>264</v>
      </c>
      <c r="BB90" s="310"/>
      <c r="BC90" s="310"/>
      <c r="BD90" s="310"/>
      <c r="BE90" s="310"/>
      <c r="BF90" s="310"/>
      <c r="BG90" s="310"/>
      <c r="BH90" s="311"/>
      <c r="BI90" s="146"/>
      <c r="BJ90" s="146"/>
      <c r="BK90" s="146"/>
      <c r="BL90" s="146"/>
      <c r="BM90" s="146"/>
      <c r="BN90" s="146"/>
      <c r="BO90" s="146"/>
      <c r="BP90" s="146"/>
      <c r="BQ90" s="146"/>
      <c r="BR90" s="146"/>
      <c r="BS90" s="146"/>
      <c r="BT90" s="146"/>
      <c r="BU90" s="146"/>
      <c r="BV90" s="146"/>
      <c r="BW90" s="146"/>
      <c r="BX90" s="146"/>
      <c r="BY90" s="146"/>
      <c r="BZ90" s="146"/>
      <c r="CA90" s="146"/>
      <c r="CB90" s="146"/>
      <c r="CC90" s="146"/>
      <c r="CD90" s="146"/>
      <c r="CE90" s="146"/>
      <c r="CF90" s="146"/>
      <c r="CG90" s="146"/>
      <c r="CH90" s="146"/>
      <c r="CI90" s="146"/>
      <c r="CJ90" s="146"/>
      <c r="CK90" s="146"/>
      <c r="CL90" s="146"/>
      <c r="CM90" s="146"/>
      <c r="CN90" s="146"/>
      <c r="CO90" s="146"/>
      <c r="CP90" s="146"/>
      <c r="CQ90" s="146"/>
      <c r="CR90" s="146"/>
      <c r="CS90" s="146"/>
      <c r="CT90" s="146"/>
      <c r="CU90" s="146"/>
      <c r="CV90" s="146"/>
      <c r="CW90" s="146"/>
      <c r="CX90" s="146"/>
      <c r="CY90" s="146"/>
      <c r="CZ90" s="146"/>
      <c r="DA90" s="146"/>
      <c r="DB90" s="147"/>
    </row>
    <row r="91" spans="1:106" s="117" customFormat="1" ht="12" customHeight="1" x14ac:dyDescent="0.25">
      <c r="A91" s="237" t="s">
        <v>200</v>
      </c>
      <c r="B91" s="238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239"/>
      <c r="X91" s="275" t="s">
        <v>45</v>
      </c>
      <c r="Y91" s="276"/>
      <c r="Z91" s="276"/>
      <c r="AA91" s="276"/>
      <c r="AB91" s="277" t="str">
        <f>график!C16</f>
        <v>янв 2024</v>
      </c>
      <c r="AC91" s="278"/>
      <c r="AD91" s="278"/>
      <c r="AE91" s="278"/>
      <c r="AF91" s="278"/>
      <c r="AG91" s="122" t="s">
        <v>1</v>
      </c>
      <c r="AH91" s="279" t="str">
        <f>график!E16</f>
        <v>апр 2024</v>
      </c>
      <c r="AI91" s="280"/>
      <c r="AJ91" s="280"/>
      <c r="AK91" s="280"/>
      <c r="AL91" s="280"/>
      <c r="AM91" s="211" t="s">
        <v>177</v>
      </c>
      <c r="AN91" s="211"/>
      <c r="AO91" s="120" t="s">
        <v>28</v>
      </c>
      <c r="AP91" s="281">
        <f>график!F16</f>
        <v>1.0521</v>
      </c>
      <c r="AQ91" s="281"/>
      <c r="AR91" s="281"/>
      <c r="AS91" s="281"/>
      <c r="AT91" s="211" t="s">
        <v>178</v>
      </c>
      <c r="AU91" s="211"/>
      <c r="AV91" s="120" t="s">
        <v>28</v>
      </c>
      <c r="AW91" s="212">
        <f>график!G16</f>
        <v>1.0306999999999999</v>
      </c>
      <c r="AX91" s="212"/>
      <c r="AY91" s="212"/>
      <c r="AZ91" s="213"/>
      <c r="BA91" s="214"/>
      <c r="BB91" s="215"/>
      <c r="BC91" s="215"/>
      <c r="BD91" s="215"/>
      <c r="BE91" s="215"/>
      <c r="BF91" s="215"/>
      <c r="BG91" s="215"/>
      <c r="BH91" s="2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48"/>
    </row>
    <row r="92" spans="1:106" s="117" customFormat="1" ht="12" customHeight="1" x14ac:dyDescent="0.2">
      <c r="A92" s="270" t="s">
        <v>198</v>
      </c>
      <c r="B92" s="271"/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2"/>
      <c r="X92" s="273" t="s">
        <v>39</v>
      </c>
      <c r="Y92" s="274"/>
      <c r="Z92" s="274"/>
      <c r="AA92" s="46" t="s">
        <v>28</v>
      </c>
      <c r="AB92" s="217">
        <v>3000</v>
      </c>
      <c r="AC92" s="217"/>
      <c r="AD92" s="217"/>
      <c r="AE92" s="217"/>
      <c r="AF92" s="282" t="s">
        <v>40</v>
      </c>
      <c r="AG92" s="274"/>
      <c r="AH92" s="274"/>
      <c r="AI92" s="274"/>
      <c r="AJ92" s="274"/>
      <c r="AK92" s="46" t="s">
        <v>28</v>
      </c>
      <c r="AL92" s="257">
        <v>15</v>
      </c>
      <c r="AM92" s="258"/>
      <c r="AN92" s="258"/>
      <c r="AO92" s="258"/>
      <c r="AP92" s="258"/>
      <c r="AQ92" s="288"/>
      <c r="AR92" s="288"/>
      <c r="AS92" s="209"/>
      <c r="AT92" s="209"/>
      <c r="AU92" s="209"/>
      <c r="AV92" s="127"/>
      <c r="AW92" s="315"/>
      <c r="AX92" s="217"/>
      <c r="AY92" s="217"/>
      <c r="AZ92" s="218"/>
      <c r="BA92" s="219"/>
      <c r="BB92" s="220"/>
      <c r="BC92" s="220"/>
      <c r="BD92" s="220"/>
      <c r="BE92" s="220"/>
      <c r="BF92" s="221"/>
      <c r="BG92" s="221"/>
      <c r="BH92" s="222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48"/>
    </row>
    <row r="93" spans="1:106" s="117" customFormat="1" ht="12" customHeight="1" x14ac:dyDescent="0.2">
      <c r="A93" s="270"/>
      <c r="B93" s="271"/>
      <c r="C93" s="271"/>
      <c r="D93" s="271"/>
      <c r="E93" s="271"/>
      <c r="F93" s="271"/>
      <c r="G93" s="271"/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71"/>
      <c r="U93" s="271"/>
      <c r="V93" s="271"/>
      <c r="W93" s="272"/>
      <c r="X93" s="273" t="s">
        <v>43</v>
      </c>
      <c r="Y93" s="274"/>
      <c r="Z93" s="274"/>
      <c r="AA93" s="46" t="s">
        <v>28</v>
      </c>
      <c r="AB93" s="217">
        <v>4000</v>
      </c>
      <c r="AC93" s="217"/>
      <c r="AD93" s="217"/>
      <c r="AE93" s="217"/>
      <c r="AF93" s="282" t="s">
        <v>44</v>
      </c>
      <c r="AG93" s="274"/>
      <c r="AH93" s="274"/>
      <c r="AI93" s="274"/>
      <c r="AJ93" s="274"/>
      <c r="AK93" s="46" t="s">
        <v>28</v>
      </c>
      <c r="AL93" s="257">
        <v>18.100000000000001</v>
      </c>
      <c r="AM93" s="258"/>
      <c r="AN93" s="258"/>
      <c r="AO93" s="258"/>
      <c r="AP93" s="258"/>
      <c r="AQ93" s="137"/>
      <c r="AR93" s="137"/>
      <c r="AS93" s="137"/>
      <c r="AT93" s="137"/>
      <c r="AU93" s="137"/>
      <c r="AV93" s="137"/>
      <c r="AW93" s="137"/>
      <c r="AX93" s="137"/>
      <c r="AY93" s="137"/>
      <c r="AZ93" s="166"/>
      <c r="BA93" s="219"/>
      <c r="BB93" s="220"/>
      <c r="BC93" s="220"/>
      <c r="BD93" s="220"/>
      <c r="BE93" s="220"/>
      <c r="BF93" s="221"/>
      <c r="BG93" s="221"/>
      <c r="BH93" s="222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48"/>
    </row>
    <row r="94" spans="1:106" s="117" customFormat="1" ht="12" customHeight="1" x14ac:dyDescent="0.2">
      <c r="A94" s="270"/>
      <c r="B94" s="271"/>
      <c r="C94" s="271"/>
      <c r="D94" s="271"/>
      <c r="E94" s="271"/>
      <c r="F94" s="271"/>
      <c r="G94" s="271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272"/>
      <c r="X94" s="259" t="s">
        <v>22</v>
      </c>
      <c r="Y94" s="260"/>
      <c r="Z94" s="260"/>
      <c r="AA94" s="123" t="s">
        <v>28</v>
      </c>
      <c r="AB94" s="217" t="str">
        <f>CONCATENATE(AL92," + [(",AL93," - ", AL92,") / (",AB93," - ", AB92,")] x (",D98," - ",AB92,")  = ")</f>
        <v xml:space="preserve">15 + [(18,1 - 15) / (4000 - 3000)] x (3310 - 3000)  = </v>
      </c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8"/>
      <c r="BA94" s="219">
        <f>ROUND(AL92 + ((AL93-AL92) / (AB93-AB92)) * (D98-AB92),2)</f>
        <v>15.96</v>
      </c>
      <c r="BB94" s="220"/>
      <c r="BC94" s="220"/>
      <c r="BD94" s="220"/>
      <c r="BE94" s="220"/>
      <c r="BF94" s="221" t="s">
        <v>182</v>
      </c>
      <c r="BG94" s="221"/>
      <c r="BH94" s="222"/>
      <c r="BI94" s="116"/>
      <c r="BJ94" s="175" t="s">
        <v>190</v>
      </c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48"/>
    </row>
    <row r="95" spans="1:106" s="117" customFormat="1" ht="12" customHeight="1" x14ac:dyDescent="0.25">
      <c r="A95" s="285" t="s">
        <v>30</v>
      </c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7"/>
      <c r="X95" s="273" t="s">
        <v>201</v>
      </c>
      <c r="Y95" s="274"/>
      <c r="Z95" s="274"/>
      <c r="AA95" s="46" t="s">
        <v>28</v>
      </c>
      <c r="AB95" s="208">
        <v>1.05</v>
      </c>
      <c r="AC95" s="208"/>
      <c r="AD95" s="208"/>
      <c r="AE95" s="288" t="s">
        <v>203</v>
      </c>
      <c r="AF95" s="288"/>
      <c r="AG95" s="127" t="s">
        <v>28</v>
      </c>
      <c r="AH95" s="207">
        <f>D98</f>
        <v>3310</v>
      </c>
      <c r="AI95" s="207"/>
      <c r="AJ95" s="207"/>
      <c r="AK95" s="282" t="s">
        <v>208</v>
      </c>
      <c r="AL95" s="282"/>
      <c r="AM95" s="46" t="s">
        <v>28</v>
      </c>
      <c r="AN95" s="217" t="str">
        <f>CONCATENATE("1 + (",AB95," - 1) x ",AH95," / ",D98)</f>
        <v>1 + (1,05 - 1) x 3310 / 3310</v>
      </c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139" t="s">
        <v>28</v>
      </c>
      <c r="BA95" s="289">
        <f>ROUND(1 + (AB95 - 1) *(AH95 / D98),2)</f>
        <v>1.05</v>
      </c>
      <c r="BB95" s="290"/>
      <c r="BC95" s="290"/>
      <c r="BD95" s="290"/>
      <c r="BE95" s="290"/>
      <c r="BF95" s="129"/>
      <c r="BG95" s="129"/>
      <c r="BH95" s="130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48"/>
    </row>
    <row r="96" spans="1:106" s="117" customFormat="1" ht="12" customHeight="1" x14ac:dyDescent="0.25">
      <c r="A96" s="285" t="s">
        <v>204</v>
      </c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7"/>
      <c r="X96" s="273" t="s">
        <v>202</v>
      </c>
      <c r="Y96" s="274"/>
      <c r="Z96" s="274"/>
      <c r="AA96" s="46" t="s">
        <v>28</v>
      </c>
      <c r="AB96" s="208">
        <v>2.19</v>
      </c>
      <c r="AC96" s="208"/>
      <c r="AD96" s="208"/>
      <c r="AE96" s="288" t="s">
        <v>203</v>
      </c>
      <c r="AF96" s="288"/>
      <c r="AG96" s="127" t="s">
        <v>28</v>
      </c>
      <c r="AH96" s="207">
        <v>180</v>
      </c>
      <c r="AI96" s="207"/>
      <c r="AJ96" s="207"/>
      <c r="AK96" s="282" t="s">
        <v>208</v>
      </c>
      <c r="AL96" s="282"/>
      <c r="AM96" s="46" t="s">
        <v>28</v>
      </c>
      <c r="AN96" s="217" t="str">
        <f>CONCATENATE("1 + (1 - ",AB96,") x ",AH96," / ",D98)</f>
        <v>1 + (1 - 2,19) x 180 / 3310</v>
      </c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139" t="s">
        <v>28</v>
      </c>
      <c r="BA96" s="289">
        <f>ROUND(1 + (AB96 - 1) *(AH96 / D98),2)</f>
        <v>1.06</v>
      </c>
      <c r="BB96" s="290"/>
      <c r="BC96" s="290"/>
      <c r="BD96" s="290"/>
      <c r="BE96" s="290"/>
      <c r="BF96" s="129"/>
      <c r="BG96" s="129"/>
      <c r="BH96" s="130"/>
      <c r="BI96" s="116"/>
      <c r="BJ96" s="183">
        <f>(1+(BA95-1)+(BA96-1))</f>
        <v>1.1100000000000001</v>
      </c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48"/>
    </row>
    <row r="97" spans="1:106" s="117" customFormat="1" ht="12" customHeight="1" x14ac:dyDescent="0.2">
      <c r="A97" s="160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2"/>
      <c r="X97" s="259" t="s">
        <v>209</v>
      </c>
      <c r="Y97" s="260"/>
      <c r="Z97" s="260"/>
      <c r="AA97" s="123" t="s">
        <v>28</v>
      </c>
      <c r="AB97" s="217" t="str">
        <f>CONCATENATE(BA94," x [1 + (",BA95," - 1) + (",BA96," - 1)] = ",BA94," x ",BJ96," = ")</f>
        <v xml:space="preserve">15,96 x [1 + (1,05 - 1) + (1,06 - 1)] = 15,96 x 1,11 = </v>
      </c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8"/>
      <c r="BA97" s="219">
        <f>ROUND(BA94*BJ96,2)</f>
        <v>17.72</v>
      </c>
      <c r="BB97" s="220"/>
      <c r="BC97" s="220"/>
      <c r="BD97" s="220"/>
      <c r="BE97" s="220"/>
      <c r="BF97" s="221" t="s">
        <v>182</v>
      </c>
      <c r="BG97" s="221"/>
      <c r="BH97" s="222"/>
      <c r="BI97" s="116"/>
      <c r="BJ97" s="175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48"/>
    </row>
    <row r="98" spans="1:106" s="117" customFormat="1" ht="12" customHeight="1" x14ac:dyDescent="0.25">
      <c r="A98" s="223" t="s">
        <v>189</v>
      </c>
      <c r="B98" s="224"/>
      <c r="C98" s="142" t="s">
        <v>28</v>
      </c>
      <c r="D98" s="225">
        <f>D75</f>
        <v>3310</v>
      </c>
      <c r="E98" s="225"/>
      <c r="F98" s="225"/>
      <c r="G98" s="225"/>
      <c r="H98" s="225"/>
      <c r="I98" s="226" t="s">
        <v>256</v>
      </c>
      <c r="J98" s="226"/>
      <c r="K98" s="226"/>
      <c r="L98" s="226"/>
      <c r="M98" s="226"/>
      <c r="N98" s="226"/>
      <c r="O98" s="149"/>
      <c r="P98" s="149"/>
      <c r="Q98" s="149"/>
      <c r="R98" s="224"/>
      <c r="S98" s="224"/>
      <c r="T98" s="142"/>
      <c r="U98" s="227"/>
      <c r="V98" s="226"/>
      <c r="W98" s="228"/>
      <c r="X98" s="229" t="s">
        <v>181</v>
      </c>
      <c r="Y98" s="230"/>
      <c r="Z98" s="230"/>
      <c r="AA98" s="126" t="s">
        <v>28</v>
      </c>
      <c r="AB98" s="231" t="str">
        <f>CONCATENATE(BA97," x ",$AO$17," x ", AP91," x [1 + 0,5 x (",AW91," - 1)]  = ")</f>
        <v xml:space="preserve">17,72 x 307,7 x 1,0521 x [1 + 0,5 x (1,0307 - 1)]  = </v>
      </c>
      <c r="AC98" s="231"/>
      <c r="AD98" s="231"/>
      <c r="AE98" s="231"/>
      <c r="AF98" s="23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231"/>
      <c r="AR98" s="231"/>
      <c r="AS98" s="231"/>
      <c r="AT98" s="231"/>
      <c r="AU98" s="231"/>
      <c r="AV98" s="231"/>
      <c r="AW98" s="231"/>
      <c r="AX98" s="231"/>
      <c r="AY98" s="231"/>
      <c r="AZ98" s="232"/>
      <c r="BA98" s="233">
        <f>ROUND(BA97*$AO$17*AP91*(1+0.5*(AW91-1)),2)</f>
        <v>5824.57</v>
      </c>
      <c r="BB98" s="234"/>
      <c r="BC98" s="234"/>
      <c r="BD98" s="234"/>
      <c r="BE98" s="234"/>
      <c r="BF98" s="235" t="s">
        <v>23</v>
      </c>
      <c r="BG98" s="235"/>
      <c r="BH98" s="23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48"/>
    </row>
    <row r="99" spans="1:106" s="117" customFormat="1" ht="12" customHeight="1" x14ac:dyDescent="0.25">
      <c r="A99" s="237" t="s">
        <v>246</v>
      </c>
      <c r="B99" s="238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9"/>
      <c r="X99" s="294" t="s">
        <v>45</v>
      </c>
      <c r="Y99" s="295"/>
      <c r="Z99" s="295"/>
      <c r="AA99" s="295"/>
      <c r="AB99" s="296" t="str">
        <f>график!C16</f>
        <v>янв 2024</v>
      </c>
      <c r="AC99" s="297"/>
      <c r="AD99" s="297"/>
      <c r="AE99" s="297"/>
      <c r="AF99" s="297"/>
      <c r="AG99" s="203" t="s">
        <v>1</v>
      </c>
      <c r="AH99" s="298" t="str">
        <f>график!E16</f>
        <v>апр 2024</v>
      </c>
      <c r="AI99" s="299"/>
      <c r="AJ99" s="299"/>
      <c r="AK99" s="299"/>
      <c r="AL99" s="299"/>
      <c r="AM99" s="300" t="s">
        <v>177</v>
      </c>
      <c r="AN99" s="300"/>
      <c r="AO99" s="204" t="s">
        <v>28</v>
      </c>
      <c r="AP99" s="301">
        <f>график!F16</f>
        <v>1.0521</v>
      </c>
      <c r="AQ99" s="301"/>
      <c r="AR99" s="301"/>
      <c r="AS99" s="301"/>
      <c r="AT99" s="300" t="s">
        <v>178</v>
      </c>
      <c r="AU99" s="300"/>
      <c r="AV99" s="204" t="s">
        <v>28</v>
      </c>
      <c r="AW99" s="302">
        <f>график!G16</f>
        <v>1.0306999999999999</v>
      </c>
      <c r="AX99" s="302"/>
      <c r="AY99" s="302"/>
      <c r="AZ99" s="303"/>
      <c r="BA99" s="214"/>
      <c r="BB99" s="215"/>
      <c r="BC99" s="215"/>
      <c r="BD99" s="215"/>
      <c r="BE99" s="215"/>
      <c r="BF99" s="215"/>
      <c r="BG99" s="215"/>
      <c r="BH99" s="2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48"/>
    </row>
    <row r="100" spans="1:106" s="117" customFormat="1" ht="12" customHeight="1" x14ac:dyDescent="0.2">
      <c r="A100" s="270" t="s">
        <v>245</v>
      </c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2"/>
      <c r="X100" s="273" t="s">
        <v>39</v>
      </c>
      <c r="Y100" s="274"/>
      <c r="Z100" s="274"/>
      <c r="AA100" s="46" t="s">
        <v>28</v>
      </c>
      <c r="AB100" s="217">
        <v>100</v>
      </c>
      <c r="AC100" s="217"/>
      <c r="AD100" s="217"/>
      <c r="AE100" s="217"/>
      <c r="AF100" s="282" t="s">
        <v>40</v>
      </c>
      <c r="AG100" s="274"/>
      <c r="AH100" s="274"/>
      <c r="AI100" s="274"/>
      <c r="AJ100" s="274"/>
      <c r="AK100" s="46" t="s">
        <v>28</v>
      </c>
      <c r="AL100" s="283">
        <v>0.3</v>
      </c>
      <c r="AM100" s="284"/>
      <c r="AN100" s="284"/>
      <c r="AO100" s="284"/>
      <c r="AP100" s="284"/>
      <c r="AQ100" s="288"/>
      <c r="AR100" s="288"/>
      <c r="AS100" s="209"/>
      <c r="AT100" s="209"/>
      <c r="AU100" s="209"/>
      <c r="AV100" s="127"/>
      <c r="AW100" s="315"/>
      <c r="AX100" s="217"/>
      <c r="AY100" s="217"/>
      <c r="AZ100" s="218"/>
      <c r="BA100" s="219"/>
      <c r="BB100" s="220"/>
      <c r="BC100" s="220"/>
      <c r="BD100" s="220"/>
      <c r="BE100" s="220"/>
      <c r="BF100" s="221"/>
      <c r="BG100" s="221"/>
      <c r="BH100" s="222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48"/>
    </row>
    <row r="101" spans="1:106" s="117" customFormat="1" ht="12" customHeight="1" x14ac:dyDescent="0.2">
      <c r="A101" s="270"/>
      <c r="B101" s="271"/>
      <c r="C101" s="271"/>
      <c r="D101" s="271"/>
      <c r="E101" s="271"/>
      <c r="F101" s="271"/>
      <c r="G101" s="271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2"/>
      <c r="X101" s="273" t="s">
        <v>43</v>
      </c>
      <c r="Y101" s="274"/>
      <c r="Z101" s="274"/>
      <c r="AA101" s="46" t="s">
        <v>28</v>
      </c>
      <c r="AB101" s="217">
        <v>300</v>
      </c>
      <c r="AC101" s="217"/>
      <c r="AD101" s="217"/>
      <c r="AE101" s="217"/>
      <c r="AF101" s="282" t="s">
        <v>44</v>
      </c>
      <c r="AG101" s="274"/>
      <c r="AH101" s="274"/>
      <c r="AI101" s="274"/>
      <c r="AJ101" s="274"/>
      <c r="AK101" s="46" t="s">
        <v>28</v>
      </c>
      <c r="AL101" s="283">
        <v>0.69</v>
      </c>
      <c r="AM101" s="284"/>
      <c r="AN101" s="284"/>
      <c r="AO101" s="284"/>
      <c r="AP101" s="284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66"/>
      <c r="BA101" s="219"/>
      <c r="BB101" s="220"/>
      <c r="BC101" s="220"/>
      <c r="BD101" s="220"/>
      <c r="BE101" s="220"/>
      <c r="BF101" s="221"/>
      <c r="BG101" s="221"/>
      <c r="BH101" s="222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48"/>
    </row>
    <row r="102" spans="1:106" s="117" customFormat="1" ht="12" customHeight="1" x14ac:dyDescent="0.2">
      <c r="A102" s="270"/>
      <c r="B102" s="271"/>
      <c r="C102" s="271"/>
      <c r="D102" s="271"/>
      <c r="E102" s="271"/>
      <c r="F102" s="271"/>
      <c r="G102" s="271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2"/>
      <c r="X102" s="259" t="s">
        <v>22</v>
      </c>
      <c r="Y102" s="260"/>
      <c r="Z102" s="260"/>
      <c r="AA102" s="123" t="s">
        <v>28</v>
      </c>
      <c r="AB102" s="217" t="str">
        <f>CONCATENATE(AL100," + [(",AL101," - ", AL100,") / (",AB101," - ", AB100,")] x (",D106," - ",AB100,")  = ")</f>
        <v xml:space="preserve">0,3 + [(0,69 - 0,3) / (300 - 100)] x (107 - 100)  = </v>
      </c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8"/>
      <c r="BA102" s="219">
        <f>ROUND(AL100 + ((AL101-AL100) / (AB101-AB100)) * (D106-AB100),2)</f>
        <v>0.31</v>
      </c>
      <c r="BB102" s="220"/>
      <c r="BC102" s="220"/>
      <c r="BD102" s="220"/>
      <c r="BE102" s="220"/>
      <c r="BF102" s="221" t="s">
        <v>182</v>
      </c>
      <c r="BG102" s="221"/>
      <c r="BH102" s="222"/>
      <c r="BI102" s="116"/>
      <c r="BJ102" s="175" t="s">
        <v>190</v>
      </c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48"/>
    </row>
    <row r="103" spans="1:106" s="117" customFormat="1" ht="12" customHeight="1" x14ac:dyDescent="0.25">
      <c r="A103" s="285" t="s">
        <v>248</v>
      </c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7"/>
      <c r="X103" s="273" t="s">
        <v>249</v>
      </c>
      <c r="Y103" s="274"/>
      <c r="Z103" s="274"/>
      <c r="AA103" s="46" t="s">
        <v>28</v>
      </c>
      <c r="AB103" s="208">
        <v>1.1000000000000001</v>
      </c>
      <c r="AC103" s="208"/>
      <c r="AD103" s="208"/>
      <c r="AE103" s="288" t="s">
        <v>203</v>
      </c>
      <c r="AF103" s="288"/>
      <c r="AG103" s="127" t="s">
        <v>28</v>
      </c>
      <c r="AH103" s="207">
        <v>60</v>
      </c>
      <c r="AI103" s="207"/>
      <c r="AJ103" s="207"/>
      <c r="AK103" s="282" t="s">
        <v>208</v>
      </c>
      <c r="AL103" s="282"/>
      <c r="AM103" s="46" t="s">
        <v>28</v>
      </c>
      <c r="AN103" s="217" t="str">
        <f>CONCATENATE("1 + (",AB103," - 1) x ",AH103," / ",D106)</f>
        <v>1 + (1,1 - 1) x 60 / 107</v>
      </c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139" t="s">
        <v>28</v>
      </c>
      <c r="BA103" s="289">
        <f>ROUND(1 + (AB103 - 1) *(AH103 / D106),2)</f>
        <v>1.06</v>
      </c>
      <c r="BB103" s="290"/>
      <c r="BC103" s="290"/>
      <c r="BD103" s="290"/>
      <c r="BE103" s="290"/>
      <c r="BF103" s="129"/>
      <c r="BG103" s="129"/>
      <c r="BH103" s="130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48"/>
    </row>
    <row r="104" spans="1:106" s="117" customFormat="1" ht="12" customHeight="1" x14ac:dyDescent="0.25">
      <c r="A104" s="285" t="s">
        <v>247</v>
      </c>
      <c r="B104" s="286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7"/>
      <c r="X104" s="273" t="s">
        <v>202</v>
      </c>
      <c r="Y104" s="274"/>
      <c r="Z104" s="274"/>
      <c r="AA104" s="46" t="s">
        <v>28</v>
      </c>
      <c r="AB104" s="208">
        <v>1.2</v>
      </c>
      <c r="AC104" s="208"/>
      <c r="AD104" s="208"/>
      <c r="AE104" s="288" t="s">
        <v>203</v>
      </c>
      <c r="AF104" s="288"/>
      <c r="AG104" s="127" t="s">
        <v>28</v>
      </c>
      <c r="AH104" s="207">
        <v>100</v>
      </c>
      <c r="AI104" s="207"/>
      <c r="AJ104" s="207"/>
      <c r="AK104" s="282" t="s">
        <v>208</v>
      </c>
      <c r="AL104" s="282"/>
      <c r="AM104" s="46" t="s">
        <v>28</v>
      </c>
      <c r="AN104" s="217" t="str">
        <f>CONCATENATE("1 + (1 - ",AB104,") x ",AH104," / ",D106)</f>
        <v>1 + (1 - 1,2) x 100 / 107</v>
      </c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139" t="s">
        <v>28</v>
      </c>
      <c r="BA104" s="289">
        <f>ROUND(1 + (AB104 - 1) *(AH104 / D106),2)</f>
        <v>1.19</v>
      </c>
      <c r="BB104" s="290"/>
      <c r="BC104" s="290"/>
      <c r="BD104" s="290"/>
      <c r="BE104" s="290"/>
      <c r="BF104" s="129"/>
      <c r="BG104" s="129"/>
      <c r="BH104" s="130"/>
      <c r="BI104" s="116"/>
      <c r="BJ104" s="183">
        <f>(1+(BA103-1)+(BA104-1))</f>
        <v>1.25</v>
      </c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48"/>
    </row>
    <row r="105" spans="1:106" s="117" customFormat="1" ht="12" customHeight="1" x14ac:dyDescent="0.2">
      <c r="A105" s="160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2"/>
      <c r="X105" s="259" t="s">
        <v>209</v>
      </c>
      <c r="Y105" s="260"/>
      <c r="Z105" s="260"/>
      <c r="AA105" s="123" t="s">
        <v>28</v>
      </c>
      <c r="AB105" s="217" t="str">
        <f>CONCATENATE(BA102," x [1 + (",BA103," - 1) + (",BA104," - 1)] = ",BA102," x ",BJ104," = ")</f>
        <v xml:space="preserve">0,31 x [1 + (1,06 - 1) + (1,19 - 1)] = 0,31 x 1,25 = </v>
      </c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8"/>
      <c r="BA105" s="219">
        <f>ROUND(BA102*BJ104,2)</f>
        <v>0.39</v>
      </c>
      <c r="BB105" s="220"/>
      <c r="BC105" s="220"/>
      <c r="BD105" s="220"/>
      <c r="BE105" s="220"/>
      <c r="BF105" s="221" t="s">
        <v>182</v>
      </c>
      <c r="BG105" s="221"/>
      <c r="BH105" s="222"/>
      <c r="BI105" s="116"/>
      <c r="BJ105" s="175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48"/>
    </row>
    <row r="106" spans="1:106" s="117" customFormat="1" ht="12" customHeight="1" x14ac:dyDescent="0.25">
      <c r="A106" s="223" t="s">
        <v>189</v>
      </c>
      <c r="B106" s="224"/>
      <c r="C106" s="142" t="s">
        <v>28</v>
      </c>
      <c r="D106" s="225">
        <v>107</v>
      </c>
      <c r="E106" s="225"/>
      <c r="F106" s="225"/>
      <c r="G106" s="225"/>
      <c r="H106" s="225"/>
      <c r="I106" s="226" t="s">
        <v>254</v>
      </c>
      <c r="J106" s="226"/>
      <c r="K106" s="226"/>
      <c r="L106" s="226"/>
      <c r="M106" s="226"/>
      <c r="N106" s="226"/>
      <c r="O106" s="149"/>
      <c r="P106" s="149"/>
      <c r="Q106" s="149"/>
      <c r="R106" s="224"/>
      <c r="S106" s="224"/>
      <c r="T106" s="142"/>
      <c r="U106" s="227"/>
      <c r="V106" s="226"/>
      <c r="W106" s="228"/>
      <c r="X106" s="229" t="s">
        <v>181</v>
      </c>
      <c r="Y106" s="230"/>
      <c r="Z106" s="230"/>
      <c r="AA106" s="126" t="s">
        <v>28</v>
      </c>
      <c r="AB106" s="231" t="str">
        <f>CONCATENATE(BA105," x ",$AO$17," x ", AP99," x [1 + 0,5 x (",AW99," - 1)]  = ")</f>
        <v xml:space="preserve">0,39 x 307,7 x 1,0521 x [1 + 0,5 x (1,0307 - 1)]  = </v>
      </c>
      <c r="AC106" s="231"/>
      <c r="AD106" s="231"/>
      <c r="AE106" s="231"/>
      <c r="AF106" s="231"/>
      <c r="AG106" s="231"/>
      <c r="AH106" s="231"/>
      <c r="AI106" s="231"/>
      <c r="AJ106" s="231"/>
      <c r="AK106" s="231"/>
      <c r="AL106" s="231"/>
      <c r="AM106" s="231"/>
      <c r="AN106" s="231"/>
      <c r="AO106" s="231"/>
      <c r="AP106" s="231"/>
      <c r="AQ106" s="231"/>
      <c r="AR106" s="231"/>
      <c r="AS106" s="231"/>
      <c r="AT106" s="231"/>
      <c r="AU106" s="231"/>
      <c r="AV106" s="231"/>
      <c r="AW106" s="231"/>
      <c r="AX106" s="231"/>
      <c r="AY106" s="231"/>
      <c r="AZ106" s="232"/>
      <c r="BA106" s="233">
        <f>ROUND(BA105*$AO$17*AP99*(1+0.5*(AW99-1)),2)</f>
        <v>128.19</v>
      </c>
      <c r="BB106" s="234"/>
      <c r="BC106" s="234"/>
      <c r="BD106" s="234"/>
      <c r="BE106" s="234"/>
      <c r="BF106" s="235" t="s">
        <v>23</v>
      </c>
      <c r="BG106" s="235"/>
      <c r="BH106" s="23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48"/>
    </row>
    <row r="107" spans="1:106" s="117" customFormat="1" ht="12" customHeight="1" x14ac:dyDescent="0.25">
      <c r="A107" s="237" t="s">
        <v>259</v>
      </c>
      <c r="B107" s="238"/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238"/>
      <c r="R107" s="238"/>
      <c r="S107" s="238"/>
      <c r="T107" s="238"/>
      <c r="U107" s="238"/>
      <c r="V107" s="238"/>
      <c r="W107" s="239"/>
      <c r="X107" s="275" t="s">
        <v>45</v>
      </c>
      <c r="Y107" s="276"/>
      <c r="Z107" s="276"/>
      <c r="AA107" s="276"/>
      <c r="AB107" s="277" t="str">
        <f>график!C16</f>
        <v>янв 2024</v>
      </c>
      <c r="AC107" s="278"/>
      <c r="AD107" s="278"/>
      <c r="AE107" s="278"/>
      <c r="AF107" s="278"/>
      <c r="AG107" s="122" t="s">
        <v>1</v>
      </c>
      <c r="AH107" s="279" t="str">
        <f>график!E16</f>
        <v>апр 2024</v>
      </c>
      <c r="AI107" s="280"/>
      <c r="AJ107" s="280"/>
      <c r="AK107" s="280"/>
      <c r="AL107" s="280"/>
      <c r="AM107" s="211" t="s">
        <v>177</v>
      </c>
      <c r="AN107" s="211"/>
      <c r="AO107" s="120" t="s">
        <v>28</v>
      </c>
      <c r="AP107" s="281">
        <f>график!F16</f>
        <v>1.0521</v>
      </c>
      <c r="AQ107" s="281"/>
      <c r="AR107" s="281"/>
      <c r="AS107" s="281"/>
      <c r="AT107" s="211" t="s">
        <v>178</v>
      </c>
      <c r="AU107" s="211"/>
      <c r="AV107" s="120" t="s">
        <v>28</v>
      </c>
      <c r="AW107" s="212">
        <f>график!G16</f>
        <v>1.0306999999999999</v>
      </c>
      <c r="AX107" s="212"/>
      <c r="AY107" s="212"/>
      <c r="AZ107" s="213"/>
      <c r="BA107" s="214"/>
      <c r="BB107" s="215"/>
      <c r="BC107" s="215"/>
      <c r="BD107" s="215"/>
      <c r="BE107" s="215"/>
      <c r="BF107" s="215"/>
      <c r="BG107" s="215"/>
      <c r="BH107" s="2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48"/>
    </row>
    <row r="108" spans="1:106" s="117" customFormat="1" ht="12" customHeight="1" x14ac:dyDescent="0.2">
      <c r="A108" s="270" t="s">
        <v>251</v>
      </c>
      <c r="B108" s="271"/>
      <c r="C108" s="271"/>
      <c r="D108" s="271"/>
      <c r="E108" s="271"/>
      <c r="F108" s="271"/>
      <c r="G108" s="271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2"/>
      <c r="X108" s="273" t="s">
        <v>39</v>
      </c>
      <c r="Y108" s="274"/>
      <c r="Z108" s="274"/>
      <c r="AA108" s="46" t="s">
        <v>28</v>
      </c>
      <c r="AB108" s="208">
        <v>0.5</v>
      </c>
      <c r="AC108" s="208"/>
      <c r="AD108" s="208"/>
      <c r="AE108" s="208"/>
      <c r="AF108" s="282" t="s">
        <v>40</v>
      </c>
      <c r="AG108" s="274"/>
      <c r="AH108" s="274"/>
      <c r="AI108" s="274"/>
      <c r="AJ108" s="274"/>
      <c r="AK108" s="46" t="s">
        <v>28</v>
      </c>
      <c r="AL108" s="257">
        <v>1</v>
      </c>
      <c r="AM108" s="258"/>
      <c r="AN108" s="258"/>
      <c r="AO108" s="258"/>
      <c r="AP108" s="258"/>
      <c r="AQ108" s="288"/>
      <c r="AR108" s="288"/>
      <c r="AS108" s="209"/>
      <c r="AT108" s="209"/>
      <c r="AU108" s="209"/>
      <c r="AV108" s="127"/>
      <c r="AW108" s="315"/>
      <c r="AX108" s="217"/>
      <c r="AY108" s="217"/>
      <c r="AZ108" s="218"/>
      <c r="BA108" s="219"/>
      <c r="BB108" s="220"/>
      <c r="BC108" s="220"/>
      <c r="BD108" s="220"/>
      <c r="BE108" s="220"/>
      <c r="BF108" s="221"/>
      <c r="BG108" s="221"/>
      <c r="BH108" s="222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48"/>
    </row>
    <row r="109" spans="1:106" s="117" customFormat="1" ht="12" customHeight="1" x14ac:dyDescent="0.2">
      <c r="A109" s="270"/>
      <c r="B109" s="271"/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2"/>
      <c r="X109" s="273" t="s">
        <v>43</v>
      </c>
      <c r="Y109" s="274"/>
      <c r="Z109" s="274"/>
      <c r="AA109" s="46" t="s">
        <v>28</v>
      </c>
      <c r="AB109" s="217">
        <v>1</v>
      </c>
      <c r="AC109" s="217"/>
      <c r="AD109" s="217"/>
      <c r="AE109" s="217"/>
      <c r="AF109" s="282" t="s">
        <v>44</v>
      </c>
      <c r="AG109" s="274"/>
      <c r="AH109" s="274"/>
      <c r="AI109" s="274"/>
      <c r="AJ109" s="274"/>
      <c r="AK109" s="46" t="s">
        <v>28</v>
      </c>
      <c r="AL109" s="257">
        <v>1.9</v>
      </c>
      <c r="AM109" s="258"/>
      <c r="AN109" s="258"/>
      <c r="AO109" s="258"/>
      <c r="AP109" s="258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66"/>
      <c r="BA109" s="219"/>
      <c r="BB109" s="220"/>
      <c r="BC109" s="220"/>
      <c r="BD109" s="220"/>
      <c r="BE109" s="220"/>
      <c r="BF109" s="221"/>
      <c r="BG109" s="221"/>
      <c r="BH109" s="222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48"/>
    </row>
    <row r="110" spans="1:106" s="117" customFormat="1" ht="12" customHeight="1" x14ac:dyDescent="0.2">
      <c r="A110" s="270"/>
      <c r="B110" s="271"/>
      <c r="C110" s="271"/>
      <c r="D110" s="271"/>
      <c r="E110" s="271"/>
      <c r="F110" s="271"/>
      <c r="G110" s="271"/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2"/>
      <c r="X110" s="259" t="s">
        <v>22</v>
      </c>
      <c r="Y110" s="260"/>
      <c r="Z110" s="260"/>
      <c r="AA110" s="123" t="s">
        <v>28</v>
      </c>
      <c r="AB110" s="217" t="str">
        <f>CONCATENATE(AL108," + [(",AL109," - ", AL108,") / (",AB109," - ", AB108,")] x (",D111," - ",AB108,")  = ")</f>
        <v xml:space="preserve">1 + [(1,9 - 1) / (1 - 0,5)] x (0,79 - 0,5)  = </v>
      </c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8"/>
      <c r="BA110" s="219">
        <f>ROUND(AL108 + ((AL109-AL108) / (AB109-AB108)) * (D111-AB108),2)</f>
        <v>1.52</v>
      </c>
      <c r="BB110" s="220"/>
      <c r="BC110" s="220"/>
      <c r="BD110" s="220"/>
      <c r="BE110" s="220"/>
      <c r="BF110" s="221" t="s">
        <v>182</v>
      </c>
      <c r="BG110" s="221"/>
      <c r="BH110" s="222"/>
      <c r="BI110" s="116"/>
      <c r="BJ110" s="175" t="s">
        <v>190</v>
      </c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48"/>
    </row>
    <row r="111" spans="1:106" s="117" customFormat="1" ht="12" customHeight="1" x14ac:dyDescent="0.25">
      <c r="A111" s="223" t="s">
        <v>189</v>
      </c>
      <c r="B111" s="224"/>
      <c r="C111" s="142" t="s">
        <v>28</v>
      </c>
      <c r="D111" s="261">
        <v>0.79</v>
      </c>
      <c r="E111" s="261"/>
      <c r="F111" s="261"/>
      <c r="G111" s="261"/>
      <c r="H111" s="261"/>
      <c r="I111" s="226" t="s">
        <v>255</v>
      </c>
      <c r="J111" s="226"/>
      <c r="K111" s="226"/>
      <c r="L111" s="226"/>
      <c r="M111" s="226"/>
      <c r="N111" s="226"/>
      <c r="O111" s="149"/>
      <c r="P111" s="149"/>
      <c r="Q111" s="149"/>
      <c r="R111" s="224"/>
      <c r="S111" s="224"/>
      <c r="T111" s="142"/>
      <c r="U111" s="227"/>
      <c r="V111" s="226"/>
      <c r="W111" s="228"/>
      <c r="X111" s="229" t="s">
        <v>181</v>
      </c>
      <c r="Y111" s="230"/>
      <c r="Z111" s="230"/>
      <c r="AA111" s="126" t="s">
        <v>28</v>
      </c>
      <c r="AB111" s="231" t="str">
        <f>CONCATENATE(BA110," x ",$AO$17," x ", AP107," x [1 + 0,5 x (",AW107," - 1)]  = ")</f>
        <v xml:space="preserve">1,52 x 307,7 x 1,0521 x [1 + 0,5 x (1,0307 - 1)]  = </v>
      </c>
      <c r="AC111" s="231"/>
      <c r="AD111" s="231"/>
      <c r="AE111" s="231"/>
      <c r="AF111" s="231"/>
      <c r="AG111" s="231"/>
      <c r="AH111" s="231"/>
      <c r="AI111" s="231"/>
      <c r="AJ111" s="231"/>
      <c r="AK111" s="231"/>
      <c r="AL111" s="231"/>
      <c r="AM111" s="231"/>
      <c r="AN111" s="231"/>
      <c r="AO111" s="231"/>
      <c r="AP111" s="231"/>
      <c r="AQ111" s="231"/>
      <c r="AR111" s="231"/>
      <c r="AS111" s="231"/>
      <c r="AT111" s="231"/>
      <c r="AU111" s="231"/>
      <c r="AV111" s="231"/>
      <c r="AW111" s="231"/>
      <c r="AX111" s="231"/>
      <c r="AY111" s="231"/>
      <c r="AZ111" s="232"/>
      <c r="BA111" s="233">
        <f>ROUND(BA110*$AO$17*AP107*(1+0.5*(AW107-1)),2)</f>
        <v>499.62</v>
      </c>
      <c r="BB111" s="234"/>
      <c r="BC111" s="234"/>
      <c r="BD111" s="234"/>
      <c r="BE111" s="234"/>
      <c r="BF111" s="235" t="s">
        <v>23</v>
      </c>
      <c r="BG111" s="235"/>
      <c r="BH111" s="23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48"/>
    </row>
    <row r="112" spans="1:106" ht="12" customHeight="1" x14ac:dyDescent="0.2">
      <c r="A112" s="167" t="s">
        <v>210</v>
      </c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9"/>
      <c r="AL112" s="169"/>
      <c r="AM112" s="169"/>
      <c r="AN112" s="169"/>
      <c r="AO112" s="169"/>
      <c r="AP112" s="169"/>
      <c r="AQ112" s="170"/>
      <c r="AR112" s="171"/>
      <c r="AS112" s="170"/>
      <c r="AT112" s="170"/>
      <c r="AU112" s="170"/>
      <c r="AV112" s="170"/>
      <c r="AW112" s="333" t="s">
        <v>22</v>
      </c>
      <c r="AX112" s="333"/>
      <c r="AY112" s="333"/>
      <c r="AZ112" s="172" t="s">
        <v>28</v>
      </c>
      <c r="BA112" s="368">
        <f>BA97+BA105+BA110</f>
        <v>19.63</v>
      </c>
      <c r="BB112" s="368"/>
      <c r="BC112" s="368"/>
      <c r="BD112" s="368"/>
      <c r="BE112" s="368"/>
      <c r="BF112" s="173" t="s">
        <v>182</v>
      </c>
      <c r="BG112" s="173"/>
      <c r="BH112" s="174"/>
    </row>
    <row r="113" spans="1:106" s="117" customFormat="1" ht="12" customHeight="1" x14ac:dyDescent="0.2">
      <c r="A113" s="262" t="s">
        <v>179</v>
      </c>
      <c r="B113" s="263"/>
      <c r="C113" s="263"/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  <c r="T113" s="263"/>
      <c r="U113" s="263"/>
      <c r="V113" s="263"/>
      <c r="W113" s="263"/>
      <c r="X113" s="140"/>
      <c r="Y113" s="140"/>
      <c r="Z113" s="140"/>
      <c r="AA113" s="140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4"/>
      <c r="AU113" s="144"/>
      <c r="AV113" s="145"/>
      <c r="AW113" s="264" t="s">
        <v>186</v>
      </c>
      <c r="AX113" s="264"/>
      <c r="AY113" s="264"/>
      <c r="AZ113" s="141" t="s">
        <v>28</v>
      </c>
      <c r="BA113" s="265">
        <f>BA98+BA106+BA111</f>
        <v>6452.3799999999992</v>
      </c>
      <c r="BB113" s="265"/>
      <c r="BC113" s="265"/>
      <c r="BD113" s="265"/>
      <c r="BE113" s="265"/>
      <c r="BF113" s="266" t="s">
        <v>23</v>
      </c>
      <c r="BG113" s="266"/>
      <c r="BH113" s="267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48"/>
    </row>
    <row r="114" spans="1:106" s="1" customFormat="1" ht="13.5" customHeight="1" x14ac:dyDescent="0.2">
      <c r="A114" s="328" t="str">
        <f>график!A17</f>
        <v>5</v>
      </c>
      <c r="B114" s="329"/>
      <c r="C114" s="330" t="str">
        <f>график!B17</f>
        <v>УСЛУГИ ПО ОСВОЕНИЮ СТРОИТЕЛЬНОЙ ПЛОЩАДКИ</v>
      </c>
      <c r="D114" s="331"/>
      <c r="E114" s="331"/>
      <c r="F114" s="331"/>
      <c r="G114" s="331"/>
      <c r="H114" s="331"/>
      <c r="I114" s="331"/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2"/>
      <c r="BI114" s="116"/>
    </row>
    <row r="115" spans="1:106" s="119" customFormat="1" ht="12" customHeight="1" x14ac:dyDescent="0.2">
      <c r="A115" s="307" t="str">
        <f>график!A18</f>
        <v>5.1</v>
      </c>
      <c r="B115" s="308"/>
      <c r="C115" s="309" t="str">
        <f>график!B18</f>
        <v>организация сноса и разборки существующих зданий и сооружений</v>
      </c>
      <c r="D115" s="309"/>
      <c r="E115" s="309"/>
      <c r="F115" s="309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  <c r="AC115" s="309"/>
      <c r="AD115" s="309"/>
      <c r="AE115" s="309"/>
      <c r="AF115" s="309"/>
      <c r="AG115" s="309"/>
      <c r="AH115" s="309"/>
      <c r="AI115" s="309"/>
      <c r="AJ115" s="309"/>
      <c r="AK115" s="309"/>
      <c r="AL115" s="309"/>
      <c r="AM115" s="309"/>
      <c r="AN115" s="309"/>
      <c r="AO115" s="309"/>
      <c r="AP115" s="309"/>
      <c r="AQ115" s="309"/>
      <c r="AR115" s="309"/>
      <c r="AS115" s="309"/>
      <c r="AT115" s="309"/>
      <c r="AU115" s="309"/>
      <c r="AV115" s="309"/>
      <c r="AW115" s="309"/>
      <c r="AX115" s="309"/>
      <c r="AY115" s="309"/>
      <c r="AZ115" s="309"/>
      <c r="BA115" s="310" t="s">
        <v>264</v>
      </c>
      <c r="BB115" s="310"/>
      <c r="BC115" s="310"/>
      <c r="BD115" s="310"/>
      <c r="BE115" s="310"/>
      <c r="BF115" s="310"/>
      <c r="BG115" s="310"/>
      <c r="BH115" s="311"/>
      <c r="BI115" s="146"/>
      <c r="BJ115" s="146"/>
      <c r="BK115" s="146"/>
      <c r="BL115" s="146"/>
      <c r="BM115" s="146"/>
      <c r="BN115" s="146"/>
      <c r="BO115" s="146"/>
      <c r="BP115" s="146"/>
      <c r="BQ115" s="146"/>
      <c r="BR115" s="146"/>
      <c r="BS115" s="146"/>
      <c r="BT115" s="146"/>
      <c r="BU115" s="146"/>
      <c r="BV115" s="146"/>
      <c r="BW115" s="146"/>
      <c r="BX115" s="146"/>
      <c r="BY115" s="146"/>
      <c r="BZ115" s="146"/>
      <c r="CA115" s="146"/>
      <c r="CB115" s="146"/>
      <c r="CC115" s="146"/>
      <c r="CD115" s="146"/>
      <c r="CE115" s="146"/>
      <c r="CF115" s="146"/>
      <c r="CG115" s="146"/>
      <c r="CH115" s="146"/>
      <c r="CI115" s="146"/>
      <c r="CJ115" s="146"/>
      <c r="CK115" s="146"/>
      <c r="CL115" s="146"/>
      <c r="CM115" s="146"/>
      <c r="CN115" s="146"/>
      <c r="CO115" s="146"/>
      <c r="CP115" s="146"/>
      <c r="CQ115" s="146"/>
      <c r="CR115" s="146"/>
      <c r="CS115" s="146"/>
      <c r="CT115" s="146"/>
      <c r="CU115" s="146"/>
      <c r="CV115" s="146"/>
      <c r="CW115" s="146"/>
      <c r="CX115" s="146"/>
      <c r="CY115" s="146"/>
      <c r="CZ115" s="146"/>
      <c r="DA115" s="146"/>
      <c r="DB115" s="147"/>
    </row>
    <row r="116" spans="1:106" s="117" customFormat="1" ht="12" customHeight="1" x14ac:dyDescent="0.25">
      <c r="A116" s="237" t="s">
        <v>211</v>
      </c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  <c r="W116" s="239"/>
      <c r="X116" s="275" t="s">
        <v>45</v>
      </c>
      <c r="Y116" s="276"/>
      <c r="Z116" s="276"/>
      <c r="AA116" s="276"/>
      <c r="AB116" s="277" t="str">
        <f>график!C18</f>
        <v>май 2024</v>
      </c>
      <c r="AC116" s="278"/>
      <c r="AD116" s="278"/>
      <c r="AE116" s="278"/>
      <c r="AF116" s="278"/>
      <c r="AG116" s="122" t="s">
        <v>1</v>
      </c>
      <c r="AH116" s="279" t="str">
        <f>график!E18</f>
        <v>май 2024</v>
      </c>
      <c r="AI116" s="280"/>
      <c r="AJ116" s="280"/>
      <c r="AK116" s="280"/>
      <c r="AL116" s="280"/>
      <c r="AM116" s="211" t="s">
        <v>177</v>
      </c>
      <c r="AN116" s="211"/>
      <c r="AO116" s="120" t="s">
        <v>28</v>
      </c>
      <c r="AP116" s="281">
        <f>график!F18</f>
        <v>1.0844</v>
      </c>
      <c r="AQ116" s="281"/>
      <c r="AR116" s="281"/>
      <c r="AS116" s="281"/>
      <c r="AT116" s="211" t="s">
        <v>178</v>
      </c>
      <c r="AU116" s="211"/>
      <c r="AV116" s="120" t="s">
        <v>28</v>
      </c>
      <c r="AW116" s="212">
        <f>график!G18</f>
        <v>1.0076000000000001</v>
      </c>
      <c r="AX116" s="212"/>
      <c r="AY116" s="212"/>
      <c r="AZ116" s="213"/>
      <c r="BA116" s="320"/>
      <c r="BB116" s="321"/>
      <c r="BC116" s="321"/>
      <c r="BD116" s="321"/>
      <c r="BE116" s="321"/>
      <c r="BF116" s="321"/>
      <c r="BG116" s="321"/>
      <c r="BH116" s="322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48"/>
    </row>
    <row r="117" spans="1:106" s="117" customFormat="1" ht="12" customHeight="1" x14ac:dyDescent="0.2">
      <c r="A117" s="323" t="str">
        <f>B25</f>
        <v>Снос одноэтажного  жилого дома 105 м2 чистой площади</v>
      </c>
      <c r="B117" s="324"/>
      <c r="C117" s="324"/>
      <c r="D117" s="324"/>
      <c r="E117" s="324"/>
      <c r="F117" s="324"/>
      <c r="G117" s="324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5"/>
      <c r="X117" s="273" t="s">
        <v>39</v>
      </c>
      <c r="Y117" s="274"/>
      <c r="Z117" s="274"/>
      <c r="AA117" s="46" t="s">
        <v>28</v>
      </c>
      <c r="AB117" s="288">
        <v>1.07</v>
      </c>
      <c r="AC117" s="288"/>
      <c r="AD117" s="288"/>
      <c r="AE117" s="288"/>
      <c r="AF117" s="282" t="s">
        <v>40</v>
      </c>
      <c r="AG117" s="274"/>
      <c r="AH117" s="274"/>
      <c r="AI117" s="274"/>
      <c r="AJ117" s="274"/>
      <c r="AK117" s="46" t="s">
        <v>28</v>
      </c>
      <c r="AL117" s="283">
        <v>0.12</v>
      </c>
      <c r="AM117" s="284"/>
      <c r="AN117" s="284"/>
      <c r="AO117" s="284"/>
      <c r="AP117" s="284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66"/>
      <c r="BA117" s="219"/>
      <c r="BB117" s="220"/>
      <c r="BC117" s="220"/>
      <c r="BD117" s="220"/>
      <c r="BE117" s="220"/>
      <c r="BF117" s="221"/>
      <c r="BG117" s="221"/>
      <c r="BH117" s="222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48"/>
    </row>
    <row r="118" spans="1:106" s="117" customFormat="1" ht="12" customHeight="1" x14ac:dyDescent="0.2">
      <c r="A118" s="323"/>
      <c r="B118" s="324"/>
      <c r="C118" s="324"/>
      <c r="D118" s="324"/>
      <c r="E118" s="324"/>
      <c r="F118" s="324"/>
      <c r="G118" s="324"/>
      <c r="H118" s="324"/>
      <c r="I118" s="324"/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5"/>
      <c r="X118" s="273" t="s">
        <v>41</v>
      </c>
      <c r="Y118" s="274"/>
      <c r="Z118" s="274"/>
      <c r="AA118" s="46" t="s">
        <v>28</v>
      </c>
      <c r="AB118" s="288">
        <v>35.15</v>
      </c>
      <c r="AC118" s="288"/>
      <c r="AD118" s="288"/>
      <c r="AE118" s="288"/>
      <c r="AF118" s="282" t="s">
        <v>42</v>
      </c>
      <c r="AG118" s="274"/>
      <c r="AH118" s="274"/>
      <c r="AI118" s="274"/>
      <c r="AJ118" s="274"/>
      <c r="AK118" s="46" t="s">
        <v>28</v>
      </c>
      <c r="AL118" s="257">
        <v>4</v>
      </c>
      <c r="AM118" s="258"/>
      <c r="AN118" s="258"/>
      <c r="AO118" s="258"/>
      <c r="AP118" s="258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66"/>
      <c r="BA118" s="219"/>
      <c r="BB118" s="220"/>
      <c r="BC118" s="220"/>
      <c r="BD118" s="220"/>
      <c r="BE118" s="220"/>
      <c r="BF118" s="221"/>
      <c r="BG118" s="221"/>
      <c r="BH118" s="222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48"/>
    </row>
    <row r="119" spans="1:106" s="117" customFormat="1" ht="12" customHeight="1" x14ac:dyDescent="0.2">
      <c r="A119" s="323"/>
      <c r="B119" s="324"/>
      <c r="C119" s="324"/>
      <c r="D119" s="324"/>
      <c r="E119" s="324"/>
      <c r="F119" s="324"/>
      <c r="G119" s="324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5"/>
      <c r="X119" s="259" t="s">
        <v>22</v>
      </c>
      <c r="Y119" s="260"/>
      <c r="Z119" s="260"/>
      <c r="AA119" s="123" t="s">
        <v>28</v>
      </c>
      <c r="AB119" s="217" t="str">
        <f>CONCATENATE(AL117," + [ (",AL118," - ", AL117,") / (",AB118," - ", AB117,") ] х (",D120," - ",AB117,") х 0,8 = ")</f>
        <v xml:space="preserve">0,12 + [ (4 - 0,12) / (35,15 - 1,07) ] х (14,32 - 1,07) х 0,8 = </v>
      </c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8"/>
      <c r="BA119" s="219">
        <f>ROUND(AL117 - ((AL118-AL117) / (AB118-AB117)) * (AB117-D120) * 0.8,2)</f>
        <v>1.33</v>
      </c>
      <c r="BB119" s="220"/>
      <c r="BC119" s="220"/>
      <c r="BD119" s="220"/>
      <c r="BE119" s="220"/>
      <c r="BF119" s="221" t="s">
        <v>182</v>
      </c>
      <c r="BG119" s="221"/>
      <c r="BH119" s="222"/>
      <c r="BI119" s="116"/>
      <c r="BJ119" s="175" t="s">
        <v>213</v>
      </c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48"/>
    </row>
    <row r="120" spans="1:106" s="117" customFormat="1" ht="12" customHeight="1" x14ac:dyDescent="0.25">
      <c r="A120" s="223" t="s">
        <v>189</v>
      </c>
      <c r="B120" s="224"/>
      <c r="C120" s="142" t="s">
        <v>28</v>
      </c>
      <c r="D120" s="316">
        <f>AP25</f>
        <v>14.32</v>
      </c>
      <c r="E120" s="316"/>
      <c r="F120" s="316"/>
      <c r="G120" s="316"/>
      <c r="H120" s="316"/>
      <c r="I120" s="226" t="s">
        <v>232</v>
      </c>
      <c r="J120" s="226"/>
      <c r="K120" s="226"/>
      <c r="L120" s="226"/>
      <c r="M120" s="226"/>
      <c r="N120" s="226"/>
      <c r="O120" s="149"/>
      <c r="P120" s="149"/>
      <c r="Q120" s="149"/>
      <c r="R120" s="224"/>
      <c r="S120" s="224"/>
      <c r="T120" s="142"/>
      <c r="U120" s="227"/>
      <c r="V120" s="226"/>
      <c r="W120" s="228"/>
      <c r="X120" s="229" t="s">
        <v>181</v>
      </c>
      <c r="Y120" s="230"/>
      <c r="Z120" s="230"/>
      <c r="AA120" s="126" t="s">
        <v>28</v>
      </c>
      <c r="AB120" s="231" t="str">
        <f>CONCATENATE(BA119," x ",$AO$17," x ", AP116," x [1 + 0,5 x (",AW116," - 1)]  = ")</f>
        <v xml:space="preserve">1,33 x 307,7 x 1,0844 x [1 + 0,5 x (1,0076 - 1)]  = </v>
      </c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231"/>
      <c r="AR120" s="231"/>
      <c r="AS120" s="231"/>
      <c r="AT120" s="231"/>
      <c r="AU120" s="231"/>
      <c r="AV120" s="231"/>
      <c r="AW120" s="231"/>
      <c r="AX120" s="231"/>
      <c r="AY120" s="231"/>
      <c r="AZ120" s="232"/>
      <c r="BA120" s="233">
        <f>ROUND(BA119*$AO$17*AP116*(1+0.5*(AW116-1)),2)</f>
        <v>445.47</v>
      </c>
      <c r="BB120" s="234"/>
      <c r="BC120" s="234"/>
      <c r="BD120" s="234"/>
      <c r="BE120" s="234"/>
      <c r="BF120" s="235" t="s">
        <v>23</v>
      </c>
      <c r="BG120" s="235"/>
      <c r="BH120" s="23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48"/>
    </row>
    <row r="121" spans="1:106" s="117" customFormat="1" ht="12" customHeight="1" x14ac:dyDescent="0.25">
      <c r="A121" s="237" t="s">
        <v>211</v>
      </c>
      <c r="B121" s="238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8"/>
      <c r="V121" s="238"/>
      <c r="W121" s="239"/>
      <c r="X121" s="275" t="s">
        <v>45</v>
      </c>
      <c r="Y121" s="276"/>
      <c r="Z121" s="276"/>
      <c r="AA121" s="276"/>
      <c r="AB121" s="277" t="str">
        <f>график!C18</f>
        <v>май 2024</v>
      </c>
      <c r="AC121" s="278"/>
      <c r="AD121" s="278"/>
      <c r="AE121" s="278"/>
      <c r="AF121" s="278"/>
      <c r="AG121" s="122" t="s">
        <v>1</v>
      </c>
      <c r="AH121" s="279" t="str">
        <f>график!E18</f>
        <v>май 2024</v>
      </c>
      <c r="AI121" s="280"/>
      <c r="AJ121" s="280"/>
      <c r="AK121" s="280"/>
      <c r="AL121" s="280"/>
      <c r="AM121" s="211" t="s">
        <v>177</v>
      </c>
      <c r="AN121" s="211"/>
      <c r="AO121" s="120" t="s">
        <v>28</v>
      </c>
      <c r="AP121" s="281">
        <f>график!F18</f>
        <v>1.0844</v>
      </c>
      <c r="AQ121" s="281"/>
      <c r="AR121" s="281"/>
      <c r="AS121" s="281"/>
      <c r="AT121" s="211" t="s">
        <v>178</v>
      </c>
      <c r="AU121" s="211"/>
      <c r="AV121" s="120" t="s">
        <v>28</v>
      </c>
      <c r="AW121" s="212">
        <f>график!G18</f>
        <v>1.0076000000000001</v>
      </c>
      <c r="AX121" s="212"/>
      <c r="AY121" s="212"/>
      <c r="AZ121" s="213"/>
      <c r="BA121" s="320"/>
      <c r="BB121" s="321"/>
      <c r="BC121" s="321"/>
      <c r="BD121" s="321"/>
      <c r="BE121" s="321"/>
      <c r="BF121" s="321"/>
      <c r="BG121" s="321"/>
      <c r="BH121" s="322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48"/>
    </row>
    <row r="122" spans="1:106" s="117" customFormat="1" ht="12" customHeight="1" x14ac:dyDescent="0.2">
      <c r="A122" s="323" t="s">
        <v>257</v>
      </c>
      <c r="B122" s="324"/>
      <c r="C122" s="324"/>
      <c r="D122" s="324"/>
      <c r="E122" s="324"/>
      <c r="F122" s="324"/>
      <c r="G122" s="324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5"/>
      <c r="X122" s="273" t="s">
        <v>39</v>
      </c>
      <c r="Y122" s="274"/>
      <c r="Z122" s="274"/>
      <c r="AA122" s="46" t="s">
        <v>28</v>
      </c>
      <c r="AB122" s="288">
        <v>1.07</v>
      </c>
      <c r="AC122" s="288"/>
      <c r="AD122" s="288"/>
      <c r="AE122" s="288"/>
      <c r="AF122" s="282" t="s">
        <v>40</v>
      </c>
      <c r="AG122" s="274"/>
      <c r="AH122" s="274"/>
      <c r="AI122" s="274"/>
      <c r="AJ122" s="274"/>
      <c r="AK122" s="46" t="s">
        <v>28</v>
      </c>
      <c r="AL122" s="283">
        <v>0.12</v>
      </c>
      <c r="AM122" s="284"/>
      <c r="AN122" s="284"/>
      <c r="AO122" s="284"/>
      <c r="AP122" s="284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66"/>
      <c r="BA122" s="219"/>
      <c r="BB122" s="220"/>
      <c r="BC122" s="220"/>
      <c r="BD122" s="220"/>
      <c r="BE122" s="220"/>
      <c r="BF122" s="221"/>
      <c r="BG122" s="221"/>
      <c r="BH122" s="222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48"/>
    </row>
    <row r="123" spans="1:106" s="117" customFormat="1" ht="12" customHeight="1" x14ac:dyDescent="0.2">
      <c r="A123" s="323"/>
      <c r="B123" s="324"/>
      <c r="C123" s="324"/>
      <c r="D123" s="324"/>
      <c r="E123" s="324"/>
      <c r="F123" s="324"/>
      <c r="G123" s="324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5"/>
      <c r="X123" s="273" t="s">
        <v>41</v>
      </c>
      <c r="Y123" s="274"/>
      <c r="Z123" s="274"/>
      <c r="AA123" s="46" t="s">
        <v>28</v>
      </c>
      <c r="AB123" s="288">
        <v>35.15</v>
      </c>
      <c r="AC123" s="288"/>
      <c r="AD123" s="288"/>
      <c r="AE123" s="288"/>
      <c r="AF123" s="282" t="s">
        <v>42</v>
      </c>
      <c r="AG123" s="274"/>
      <c r="AH123" s="274"/>
      <c r="AI123" s="274"/>
      <c r="AJ123" s="274"/>
      <c r="AK123" s="46" t="s">
        <v>28</v>
      </c>
      <c r="AL123" s="257">
        <v>4</v>
      </c>
      <c r="AM123" s="258"/>
      <c r="AN123" s="258"/>
      <c r="AO123" s="258"/>
      <c r="AP123" s="258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66"/>
      <c r="BA123" s="219"/>
      <c r="BB123" s="220"/>
      <c r="BC123" s="220"/>
      <c r="BD123" s="220"/>
      <c r="BE123" s="220"/>
      <c r="BF123" s="221"/>
      <c r="BG123" s="221"/>
      <c r="BH123" s="222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48"/>
    </row>
    <row r="124" spans="1:106" s="117" customFormat="1" ht="12" customHeight="1" x14ac:dyDescent="0.2">
      <c r="A124" s="323"/>
      <c r="B124" s="324"/>
      <c r="C124" s="324"/>
      <c r="D124" s="324"/>
      <c r="E124" s="324"/>
      <c r="F124" s="324"/>
      <c r="G124" s="324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5"/>
      <c r="X124" s="259" t="s">
        <v>22</v>
      </c>
      <c r="Y124" s="260"/>
      <c r="Z124" s="260"/>
      <c r="AA124" s="123" t="s">
        <v>28</v>
      </c>
      <c r="AB124" s="217" t="str">
        <f>CONCATENATE(AL122," + [ (",AL123," - ", AL122,") / (",AB123," - ", AB122,") ] х (",D125," - ",AB122,") х 0,8 = ")</f>
        <v xml:space="preserve">0,12 + [ (4 - 0,12) / (35,15 - 1,07) ] х (3,5 - 1,07) х 0,8 = </v>
      </c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7"/>
      <c r="AY124" s="217"/>
      <c r="AZ124" s="218"/>
      <c r="BA124" s="219">
        <f>ROUND(AL122 - ((AL123-AL122) / (AB123-AB122)) * (AB122-D125) * 0.8,2)</f>
        <v>0.34</v>
      </c>
      <c r="BB124" s="220"/>
      <c r="BC124" s="220"/>
      <c r="BD124" s="220"/>
      <c r="BE124" s="220"/>
      <c r="BF124" s="221" t="s">
        <v>182</v>
      </c>
      <c r="BG124" s="221"/>
      <c r="BH124" s="222"/>
      <c r="BI124" s="116"/>
      <c r="BJ124" s="175" t="s">
        <v>213</v>
      </c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48"/>
    </row>
    <row r="125" spans="1:106" s="117" customFormat="1" ht="12" customHeight="1" x14ac:dyDescent="0.25">
      <c r="A125" s="223" t="s">
        <v>189</v>
      </c>
      <c r="B125" s="224"/>
      <c r="C125" s="142" t="s">
        <v>28</v>
      </c>
      <c r="D125" s="316">
        <v>3.5</v>
      </c>
      <c r="E125" s="316"/>
      <c r="F125" s="316"/>
      <c r="G125" s="316"/>
      <c r="H125" s="316"/>
      <c r="I125" s="226" t="s">
        <v>232</v>
      </c>
      <c r="J125" s="226"/>
      <c r="K125" s="226"/>
      <c r="L125" s="226"/>
      <c r="M125" s="226"/>
      <c r="N125" s="226"/>
      <c r="O125" s="149"/>
      <c r="P125" s="149"/>
      <c r="Q125" s="149"/>
      <c r="R125" s="224"/>
      <c r="S125" s="224"/>
      <c r="T125" s="142"/>
      <c r="U125" s="227"/>
      <c r="V125" s="226"/>
      <c r="W125" s="228"/>
      <c r="X125" s="229" t="s">
        <v>181</v>
      </c>
      <c r="Y125" s="230"/>
      <c r="Z125" s="230"/>
      <c r="AA125" s="126" t="s">
        <v>28</v>
      </c>
      <c r="AB125" s="231" t="str">
        <f>CONCATENATE(BA124," x ",$AO$17," x ", AP121," x [1 + 0,5 x (",AW121," - 1)]  = ")</f>
        <v xml:space="preserve">0,34 x 307,7 x 1,0844 x [1 + 0,5 x (1,0076 - 1)]  = </v>
      </c>
      <c r="AC125" s="231"/>
      <c r="AD125" s="231"/>
      <c r="AE125" s="231"/>
      <c r="AF125" s="231"/>
      <c r="AG125" s="231"/>
      <c r="AH125" s="231"/>
      <c r="AI125" s="231"/>
      <c r="AJ125" s="231"/>
      <c r="AK125" s="231"/>
      <c r="AL125" s="231"/>
      <c r="AM125" s="231"/>
      <c r="AN125" s="231"/>
      <c r="AO125" s="231"/>
      <c r="AP125" s="231"/>
      <c r="AQ125" s="231"/>
      <c r="AR125" s="231"/>
      <c r="AS125" s="231"/>
      <c r="AT125" s="231"/>
      <c r="AU125" s="231"/>
      <c r="AV125" s="231"/>
      <c r="AW125" s="231"/>
      <c r="AX125" s="231"/>
      <c r="AY125" s="231"/>
      <c r="AZ125" s="232"/>
      <c r="BA125" s="233">
        <f>ROUND(BA124*$AO$17*AP121*(1+0.5*(AW121-1)),2)</f>
        <v>113.88</v>
      </c>
      <c r="BB125" s="234"/>
      <c r="BC125" s="234"/>
      <c r="BD125" s="234"/>
      <c r="BE125" s="234"/>
      <c r="BF125" s="235" t="s">
        <v>23</v>
      </c>
      <c r="BG125" s="235"/>
      <c r="BH125" s="23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48"/>
    </row>
    <row r="126" spans="1:106" s="119" customFormat="1" ht="12" customHeight="1" x14ac:dyDescent="0.2">
      <c r="A126" s="307" t="str">
        <f>график!A19</f>
        <v>5.2</v>
      </c>
      <c r="B126" s="308"/>
      <c r="C126" s="309" t="str">
        <f>график!B19</f>
        <v>организация выноса (переноса) сооружений взамен сносимых</v>
      </c>
      <c r="D126" s="309"/>
      <c r="E126" s="309"/>
      <c r="F126" s="309"/>
      <c r="G126" s="309"/>
      <c r="H126" s="309"/>
      <c r="I126" s="309"/>
      <c r="J126" s="309"/>
      <c r="K126" s="309"/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  <c r="AC126" s="309"/>
      <c r="AD126" s="309"/>
      <c r="AE126" s="309"/>
      <c r="AF126" s="309"/>
      <c r="AG126" s="309"/>
      <c r="AH126" s="309"/>
      <c r="AI126" s="309"/>
      <c r="AJ126" s="309"/>
      <c r="AK126" s="309"/>
      <c r="AL126" s="309"/>
      <c r="AM126" s="309"/>
      <c r="AN126" s="309"/>
      <c r="AO126" s="309"/>
      <c r="AP126" s="309"/>
      <c r="AQ126" s="309"/>
      <c r="AR126" s="309"/>
      <c r="AS126" s="309"/>
      <c r="AT126" s="309"/>
      <c r="AU126" s="309"/>
      <c r="AV126" s="309"/>
      <c r="AW126" s="309"/>
      <c r="AX126" s="309"/>
      <c r="AY126" s="309"/>
      <c r="AZ126" s="309"/>
      <c r="BA126" s="310" t="s">
        <v>264</v>
      </c>
      <c r="BB126" s="310"/>
      <c r="BC126" s="310"/>
      <c r="BD126" s="310"/>
      <c r="BE126" s="310"/>
      <c r="BF126" s="310"/>
      <c r="BG126" s="310"/>
      <c r="BH126" s="311"/>
      <c r="BI126" s="146"/>
      <c r="BJ126" s="146"/>
      <c r="BK126" s="146"/>
      <c r="BL126" s="146"/>
      <c r="BM126" s="146"/>
      <c r="BN126" s="146"/>
      <c r="BO126" s="146"/>
      <c r="BP126" s="146"/>
      <c r="BQ126" s="146"/>
      <c r="BR126" s="146"/>
      <c r="BS126" s="146"/>
      <c r="BT126" s="146"/>
      <c r="BU126" s="146"/>
      <c r="BV126" s="146"/>
      <c r="BW126" s="146"/>
      <c r="BX126" s="146"/>
      <c r="BY126" s="146"/>
      <c r="BZ126" s="146"/>
      <c r="CA126" s="146"/>
      <c r="CB126" s="146"/>
      <c r="CC126" s="146"/>
      <c r="CD126" s="146"/>
      <c r="CE126" s="146"/>
      <c r="CF126" s="146"/>
      <c r="CG126" s="146"/>
      <c r="CH126" s="146"/>
      <c r="CI126" s="146"/>
      <c r="CJ126" s="146"/>
      <c r="CK126" s="146"/>
      <c r="CL126" s="146"/>
      <c r="CM126" s="146"/>
      <c r="CN126" s="146"/>
      <c r="CO126" s="146"/>
      <c r="CP126" s="146"/>
      <c r="CQ126" s="146"/>
      <c r="CR126" s="146"/>
      <c r="CS126" s="146"/>
      <c r="CT126" s="146"/>
      <c r="CU126" s="146"/>
      <c r="CV126" s="146"/>
      <c r="CW126" s="146"/>
      <c r="CX126" s="146"/>
      <c r="CY126" s="146"/>
      <c r="CZ126" s="146"/>
      <c r="DA126" s="146"/>
      <c r="DB126" s="147"/>
    </row>
    <row r="127" spans="1:106" s="117" customFormat="1" ht="12" customHeight="1" x14ac:dyDescent="0.25">
      <c r="A127" s="237" t="s">
        <v>253</v>
      </c>
      <c r="B127" s="238"/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  <c r="T127" s="238"/>
      <c r="U127" s="238"/>
      <c r="V127" s="238"/>
      <c r="W127" s="239"/>
      <c r="X127" s="275" t="s">
        <v>45</v>
      </c>
      <c r="Y127" s="276"/>
      <c r="Z127" s="276"/>
      <c r="AA127" s="276"/>
      <c r="AB127" s="277" t="str">
        <f>график!C19</f>
        <v>июн 2024</v>
      </c>
      <c r="AC127" s="278"/>
      <c r="AD127" s="278"/>
      <c r="AE127" s="278"/>
      <c r="AF127" s="278"/>
      <c r="AG127" s="122" t="s">
        <v>1</v>
      </c>
      <c r="AH127" s="279" t="str">
        <f>график!E19</f>
        <v>июл 2024</v>
      </c>
      <c r="AI127" s="280"/>
      <c r="AJ127" s="280"/>
      <c r="AK127" s="280"/>
      <c r="AL127" s="280"/>
      <c r="AM127" s="211" t="s">
        <v>177</v>
      </c>
      <c r="AN127" s="211"/>
      <c r="AO127" s="120" t="s">
        <v>28</v>
      </c>
      <c r="AP127" s="281">
        <f>график!F19</f>
        <v>1.0927</v>
      </c>
      <c r="AQ127" s="281"/>
      <c r="AR127" s="281"/>
      <c r="AS127" s="281"/>
      <c r="AT127" s="211" t="s">
        <v>178</v>
      </c>
      <c r="AU127" s="211"/>
      <c r="AV127" s="120" t="s">
        <v>28</v>
      </c>
      <c r="AW127" s="212">
        <f>график!G19</f>
        <v>1.0153000000000001</v>
      </c>
      <c r="AX127" s="212"/>
      <c r="AY127" s="212"/>
      <c r="AZ127" s="213"/>
      <c r="BA127" s="320"/>
      <c r="BB127" s="321"/>
      <c r="BC127" s="321"/>
      <c r="BD127" s="321"/>
      <c r="BE127" s="321"/>
      <c r="BF127" s="321"/>
      <c r="BG127" s="321"/>
      <c r="BH127" s="322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48"/>
    </row>
    <row r="128" spans="1:106" s="117" customFormat="1" ht="12" customHeight="1" x14ac:dyDescent="0.2">
      <c r="A128" s="270" t="s">
        <v>280</v>
      </c>
      <c r="B128" s="271"/>
      <c r="C128" s="271"/>
      <c r="D128" s="271"/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71"/>
      <c r="U128" s="271"/>
      <c r="V128" s="271"/>
      <c r="W128" s="272"/>
      <c r="X128" s="273" t="s">
        <v>39</v>
      </c>
      <c r="Y128" s="274"/>
      <c r="Z128" s="274"/>
      <c r="AA128" s="46" t="s">
        <v>28</v>
      </c>
      <c r="AB128" s="288">
        <v>500</v>
      </c>
      <c r="AC128" s="288"/>
      <c r="AD128" s="288"/>
      <c r="AE128" s="288"/>
      <c r="AF128" s="282" t="s">
        <v>40</v>
      </c>
      <c r="AG128" s="274"/>
      <c r="AH128" s="274"/>
      <c r="AI128" s="274"/>
      <c r="AJ128" s="274"/>
      <c r="AK128" s="46" t="s">
        <v>28</v>
      </c>
      <c r="AL128" s="283">
        <f>1+2+12+5+3.31</f>
        <v>23.31</v>
      </c>
      <c r="AM128" s="284"/>
      <c r="AN128" s="284"/>
      <c r="AO128" s="284"/>
      <c r="AP128" s="284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66"/>
      <c r="BA128" s="219"/>
      <c r="BB128" s="220"/>
      <c r="BC128" s="220"/>
      <c r="BD128" s="220"/>
      <c r="BE128" s="220"/>
      <c r="BF128" s="221"/>
      <c r="BG128" s="221"/>
      <c r="BH128" s="222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48"/>
    </row>
    <row r="129" spans="1:106" s="117" customFormat="1" ht="12" customHeight="1" x14ac:dyDescent="0.2">
      <c r="A129" s="270"/>
      <c r="B129" s="271"/>
      <c r="C129" s="271"/>
      <c r="D129" s="271"/>
      <c r="E129" s="271"/>
      <c r="F129" s="271"/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2"/>
      <c r="X129" s="273" t="s">
        <v>41</v>
      </c>
      <c r="Y129" s="274"/>
      <c r="Z129" s="274"/>
      <c r="AA129" s="46" t="s">
        <v>28</v>
      </c>
      <c r="AB129" s="288">
        <v>1000</v>
      </c>
      <c r="AC129" s="288"/>
      <c r="AD129" s="288"/>
      <c r="AE129" s="288"/>
      <c r="AF129" s="282" t="s">
        <v>42</v>
      </c>
      <c r="AG129" s="274"/>
      <c r="AH129" s="274"/>
      <c r="AI129" s="274"/>
      <c r="AJ129" s="274"/>
      <c r="AK129" s="46" t="s">
        <v>28</v>
      </c>
      <c r="AL129" s="283">
        <f>1.65+3.3+19.8+8.25+3.62</f>
        <v>36.619999999999997</v>
      </c>
      <c r="AM129" s="284"/>
      <c r="AN129" s="284"/>
      <c r="AO129" s="284"/>
      <c r="AP129" s="284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66"/>
      <c r="BA129" s="219"/>
      <c r="BB129" s="220"/>
      <c r="BC129" s="220"/>
      <c r="BD129" s="220"/>
      <c r="BE129" s="220"/>
      <c r="BF129" s="221"/>
      <c r="BG129" s="221"/>
      <c r="BH129" s="222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48"/>
    </row>
    <row r="130" spans="1:106" s="117" customFormat="1" ht="12" customHeight="1" x14ac:dyDescent="0.2">
      <c r="A130" s="270"/>
      <c r="B130" s="271"/>
      <c r="C130" s="271"/>
      <c r="D130" s="271"/>
      <c r="E130" s="271"/>
      <c r="F130" s="271"/>
      <c r="G130" s="271"/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71"/>
      <c r="U130" s="271"/>
      <c r="V130" s="271"/>
      <c r="W130" s="272"/>
      <c r="X130" s="259" t="s">
        <v>22</v>
      </c>
      <c r="Y130" s="260"/>
      <c r="Z130" s="260"/>
      <c r="AA130" s="123" t="s">
        <v>28</v>
      </c>
      <c r="AB130" s="217" t="str">
        <f>CONCATENATE(AL128," - [ (",AL129," - ", AL128,") / (",AB129," - ", AB128,") ] х (",AB128," - ",D131,") х 0,8 = ")</f>
        <v xml:space="preserve">23,31 - [ (36,62 - 23,31) / (1000 - 500) ] х (500 - 520) х 0,8 = </v>
      </c>
      <c r="AC130" s="217"/>
      <c r="AD130" s="217"/>
      <c r="AE130" s="217"/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  <c r="AU130" s="217"/>
      <c r="AV130" s="217"/>
      <c r="AW130" s="217"/>
      <c r="AX130" s="217"/>
      <c r="AY130" s="217"/>
      <c r="AZ130" s="218"/>
      <c r="BA130" s="219">
        <f>ROUND(AL128 - ((AL129-AL128) / (AB129-AB128)) * (AB128-D131) * 0.8,2)</f>
        <v>23.74</v>
      </c>
      <c r="BB130" s="220"/>
      <c r="BC130" s="220"/>
      <c r="BD130" s="220"/>
      <c r="BE130" s="220"/>
      <c r="BF130" s="221" t="s">
        <v>182</v>
      </c>
      <c r="BG130" s="221"/>
      <c r="BH130" s="222"/>
      <c r="BI130" s="116"/>
      <c r="BJ130" s="175" t="s">
        <v>213</v>
      </c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48"/>
    </row>
    <row r="131" spans="1:106" s="117" customFormat="1" ht="12" customHeight="1" x14ac:dyDescent="0.25">
      <c r="A131" s="223" t="s">
        <v>189</v>
      </c>
      <c r="B131" s="224"/>
      <c r="C131" s="142" t="s">
        <v>28</v>
      </c>
      <c r="D131" s="225">
        <v>520</v>
      </c>
      <c r="E131" s="225"/>
      <c r="F131" s="225"/>
      <c r="G131" s="225"/>
      <c r="H131" s="225"/>
      <c r="I131" s="226" t="s">
        <v>254</v>
      </c>
      <c r="J131" s="226"/>
      <c r="K131" s="226"/>
      <c r="L131" s="226"/>
      <c r="M131" s="226"/>
      <c r="N131" s="226"/>
      <c r="O131" s="149"/>
      <c r="P131" s="149"/>
      <c r="Q131" s="149"/>
      <c r="R131" s="224"/>
      <c r="S131" s="224"/>
      <c r="T131" s="142"/>
      <c r="U131" s="227"/>
      <c r="V131" s="226"/>
      <c r="W131" s="228"/>
      <c r="X131" s="229" t="s">
        <v>181</v>
      </c>
      <c r="Y131" s="230"/>
      <c r="Z131" s="230"/>
      <c r="AA131" s="126" t="s">
        <v>28</v>
      </c>
      <c r="AB131" s="231" t="str">
        <f>CONCATENATE(BA130," x ",$AO$17," x ", AP127," x [1 + 0,5 x (",AW127," - 1)]  = ")</f>
        <v xml:space="preserve">23,74 x 307,7 x 1,0927 x [1 + 0,5 x (1,0153 - 1)]  = </v>
      </c>
      <c r="AC131" s="231"/>
      <c r="AD131" s="231"/>
      <c r="AE131" s="231"/>
      <c r="AF131" s="231"/>
      <c r="AG131" s="231"/>
      <c r="AH131" s="231"/>
      <c r="AI131" s="231"/>
      <c r="AJ131" s="231"/>
      <c r="AK131" s="231"/>
      <c r="AL131" s="231"/>
      <c r="AM131" s="231"/>
      <c r="AN131" s="231"/>
      <c r="AO131" s="231"/>
      <c r="AP131" s="231"/>
      <c r="AQ131" s="231"/>
      <c r="AR131" s="231"/>
      <c r="AS131" s="231"/>
      <c r="AT131" s="231"/>
      <c r="AU131" s="231"/>
      <c r="AV131" s="231"/>
      <c r="AW131" s="231"/>
      <c r="AX131" s="231"/>
      <c r="AY131" s="231"/>
      <c r="AZ131" s="232"/>
      <c r="BA131" s="233">
        <f>ROUND(BA130*$AO$17*AP127*(1+0.5*(AW127-1)),2)</f>
        <v>8043.01</v>
      </c>
      <c r="BB131" s="234"/>
      <c r="BC131" s="234"/>
      <c r="BD131" s="234"/>
      <c r="BE131" s="234"/>
      <c r="BF131" s="235" t="s">
        <v>23</v>
      </c>
      <c r="BG131" s="235"/>
      <c r="BH131" s="23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48"/>
    </row>
    <row r="132" spans="1:106" s="119" customFormat="1" ht="12" customHeight="1" x14ac:dyDescent="0.2">
      <c r="A132" s="307" t="str">
        <f>график!A20</f>
        <v>5.3</v>
      </c>
      <c r="B132" s="308"/>
      <c r="C132" s="309" t="str">
        <f>график!B20</f>
        <v xml:space="preserve">организация реализации имущественных прав граждан и организаций при изъятии у них земельных участков </v>
      </c>
      <c r="D132" s="309"/>
      <c r="E132" s="309"/>
      <c r="F132" s="309"/>
      <c r="G132" s="309"/>
      <c r="H132" s="309"/>
      <c r="I132" s="309"/>
      <c r="J132" s="309"/>
      <c r="K132" s="309"/>
      <c r="L132" s="309"/>
      <c r="M132" s="309"/>
      <c r="N132" s="309"/>
      <c r="O132" s="309"/>
      <c r="P132" s="309"/>
      <c r="Q132" s="309"/>
      <c r="R132" s="309"/>
      <c r="S132" s="309"/>
      <c r="T132" s="309"/>
      <c r="U132" s="309"/>
      <c r="V132" s="309"/>
      <c r="W132" s="309"/>
      <c r="X132" s="309"/>
      <c r="Y132" s="309"/>
      <c r="Z132" s="309"/>
      <c r="AA132" s="309"/>
      <c r="AB132" s="309"/>
      <c r="AC132" s="309"/>
      <c r="AD132" s="309"/>
      <c r="AE132" s="309"/>
      <c r="AF132" s="309"/>
      <c r="AG132" s="309"/>
      <c r="AH132" s="309"/>
      <c r="AI132" s="309"/>
      <c r="AJ132" s="309"/>
      <c r="AK132" s="309"/>
      <c r="AL132" s="309"/>
      <c r="AM132" s="309"/>
      <c r="AN132" s="309"/>
      <c r="AO132" s="309"/>
      <c r="AP132" s="309"/>
      <c r="AQ132" s="309"/>
      <c r="AR132" s="309"/>
      <c r="AS132" s="309"/>
      <c r="AT132" s="309"/>
      <c r="AU132" s="309"/>
      <c r="AV132" s="309"/>
      <c r="AW132" s="309"/>
      <c r="AX132" s="309"/>
      <c r="AY132" s="309"/>
      <c r="AZ132" s="309"/>
      <c r="BA132" s="310" t="s">
        <v>264</v>
      </c>
      <c r="BB132" s="310"/>
      <c r="BC132" s="310"/>
      <c r="BD132" s="310"/>
      <c r="BE132" s="310"/>
      <c r="BF132" s="310"/>
      <c r="BG132" s="310"/>
      <c r="BH132" s="311"/>
      <c r="BI132" s="146"/>
      <c r="BJ132" s="146"/>
      <c r="BK132" s="146"/>
      <c r="BL132" s="146"/>
      <c r="BM132" s="146"/>
      <c r="BN132" s="146"/>
      <c r="BO132" s="146"/>
      <c r="BP132" s="146"/>
      <c r="BQ132" s="146"/>
      <c r="BR132" s="146"/>
      <c r="BS132" s="146"/>
      <c r="BT132" s="146"/>
      <c r="BU132" s="146"/>
      <c r="BV132" s="146"/>
      <c r="BW132" s="146"/>
      <c r="BX132" s="146"/>
      <c r="BY132" s="146"/>
      <c r="BZ132" s="146"/>
      <c r="CA132" s="146"/>
      <c r="CB132" s="146"/>
      <c r="CC132" s="146"/>
      <c r="CD132" s="146"/>
      <c r="CE132" s="146"/>
      <c r="CF132" s="146"/>
      <c r="CG132" s="146"/>
      <c r="CH132" s="146"/>
      <c r="CI132" s="146"/>
      <c r="CJ132" s="146"/>
      <c r="CK132" s="146"/>
      <c r="CL132" s="146"/>
      <c r="CM132" s="146"/>
      <c r="CN132" s="146"/>
      <c r="CO132" s="146"/>
      <c r="CP132" s="146"/>
      <c r="CQ132" s="146"/>
      <c r="CR132" s="146"/>
      <c r="CS132" s="146"/>
      <c r="CT132" s="146"/>
      <c r="CU132" s="146"/>
      <c r="CV132" s="146"/>
      <c r="CW132" s="146"/>
      <c r="CX132" s="146"/>
      <c r="CY132" s="146"/>
      <c r="CZ132" s="146"/>
      <c r="DA132" s="146"/>
      <c r="DB132" s="147"/>
    </row>
    <row r="133" spans="1:106" s="117" customFormat="1" ht="12" customHeight="1" x14ac:dyDescent="0.25">
      <c r="A133" s="237" t="s">
        <v>184</v>
      </c>
      <c r="B133" s="238"/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238"/>
      <c r="P133" s="238"/>
      <c r="Q133" s="238"/>
      <c r="R133" s="238"/>
      <c r="S133" s="238"/>
      <c r="T133" s="238"/>
      <c r="U133" s="238"/>
      <c r="V133" s="238"/>
      <c r="W133" s="239"/>
      <c r="X133" s="275" t="s">
        <v>45</v>
      </c>
      <c r="Y133" s="276"/>
      <c r="Z133" s="276"/>
      <c r="AA133" s="276"/>
      <c r="AB133" s="278" t="str">
        <f>график!C20</f>
        <v>июн 2024</v>
      </c>
      <c r="AC133" s="278"/>
      <c r="AD133" s="278"/>
      <c r="AE133" s="278"/>
      <c r="AF133" s="278"/>
      <c r="AG133" s="122" t="s">
        <v>1</v>
      </c>
      <c r="AH133" s="279" t="str">
        <f>график!E20</f>
        <v>июн 2024</v>
      </c>
      <c r="AI133" s="280"/>
      <c r="AJ133" s="280"/>
      <c r="AK133" s="280"/>
      <c r="AL133" s="280"/>
      <c r="AM133" s="211" t="s">
        <v>177</v>
      </c>
      <c r="AN133" s="211"/>
      <c r="AO133" s="120" t="s">
        <v>28</v>
      </c>
      <c r="AP133" s="281">
        <f>график!F20</f>
        <v>1.0927</v>
      </c>
      <c r="AQ133" s="281"/>
      <c r="AR133" s="281"/>
      <c r="AS133" s="281"/>
      <c r="AT133" s="211" t="s">
        <v>178</v>
      </c>
      <c r="AU133" s="211"/>
      <c r="AV133" s="120" t="s">
        <v>28</v>
      </c>
      <c r="AW133" s="212">
        <f>график!G20</f>
        <v>1.0076000000000001</v>
      </c>
      <c r="AX133" s="212"/>
      <c r="AY133" s="212"/>
      <c r="AZ133" s="213"/>
      <c r="BA133" s="214"/>
      <c r="BB133" s="215"/>
      <c r="BC133" s="215"/>
      <c r="BD133" s="215"/>
      <c r="BE133" s="215"/>
      <c r="BF133" s="215"/>
      <c r="BG133" s="215"/>
      <c r="BH133" s="2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48"/>
    </row>
    <row r="134" spans="1:106" s="117" customFormat="1" ht="12" customHeight="1" x14ac:dyDescent="0.2">
      <c r="A134" s="359" t="s">
        <v>258</v>
      </c>
      <c r="B134" s="360"/>
      <c r="C134" s="360"/>
      <c r="D134" s="360"/>
      <c r="E134" s="360"/>
      <c r="F134" s="360"/>
      <c r="G134" s="360"/>
      <c r="H134" s="360"/>
      <c r="I134" s="360"/>
      <c r="J134" s="360"/>
      <c r="K134" s="360"/>
      <c r="L134" s="360"/>
      <c r="M134" s="360"/>
      <c r="N134" s="360"/>
      <c r="O134" s="360"/>
      <c r="P134" s="360"/>
      <c r="Q134" s="360"/>
      <c r="R134" s="360"/>
      <c r="S134" s="360"/>
      <c r="T134" s="360"/>
      <c r="U134" s="360"/>
      <c r="V134" s="360"/>
      <c r="W134" s="361"/>
      <c r="X134" s="259" t="s">
        <v>22</v>
      </c>
      <c r="Y134" s="260"/>
      <c r="Z134" s="260"/>
      <c r="AA134" s="123" t="s">
        <v>28</v>
      </c>
      <c r="AB134" s="342">
        <v>3.8</v>
      </c>
      <c r="AC134" s="342"/>
      <c r="AD134" s="342"/>
      <c r="AE134" s="342"/>
      <c r="AF134" s="342"/>
      <c r="AG134" s="342"/>
      <c r="AH134" s="342"/>
      <c r="AI134" s="342"/>
      <c r="AJ134" s="342"/>
      <c r="AK134" s="342"/>
      <c r="AL134" s="342"/>
      <c r="AM134" s="342"/>
      <c r="AN134" s="342"/>
      <c r="AO134" s="342"/>
      <c r="AP134" s="342"/>
      <c r="AQ134" s="342"/>
      <c r="AR134" s="342"/>
      <c r="AS134" s="342"/>
      <c r="AT134" s="288"/>
      <c r="AU134" s="288"/>
      <c r="AV134" s="127"/>
      <c r="AW134" s="217"/>
      <c r="AX134" s="217"/>
      <c r="AY134" s="217"/>
      <c r="AZ134" s="218"/>
      <c r="BA134" s="219">
        <f>AB134</f>
        <v>3.8</v>
      </c>
      <c r="BB134" s="220"/>
      <c r="BC134" s="220"/>
      <c r="BD134" s="220"/>
      <c r="BE134" s="220"/>
      <c r="BF134" s="221" t="s">
        <v>182</v>
      </c>
      <c r="BG134" s="221"/>
      <c r="BH134" s="222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48"/>
    </row>
    <row r="135" spans="1:106" s="117" customFormat="1" ht="12" customHeight="1" x14ac:dyDescent="0.2">
      <c r="A135" s="362" t="s">
        <v>179</v>
      </c>
      <c r="B135" s="363"/>
      <c r="C135" s="363"/>
      <c r="D135" s="363"/>
      <c r="E135" s="363"/>
      <c r="F135" s="363"/>
      <c r="G135" s="363"/>
      <c r="H135" s="363"/>
      <c r="I135" s="363"/>
      <c r="J135" s="363"/>
      <c r="K135" s="363"/>
      <c r="L135" s="363"/>
      <c r="M135" s="363"/>
      <c r="N135" s="363"/>
      <c r="O135" s="363"/>
      <c r="P135" s="363"/>
      <c r="Q135" s="121"/>
      <c r="R135" s="364"/>
      <c r="S135" s="364"/>
      <c r="T135" s="176"/>
      <c r="U135" s="365"/>
      <c r="V135" s="366"/>
      <c r="W135" s="367"/>
      <c r="X135" s="259" t="s">
        <v>181</v>
      </c>
      <c r="Y135" s="260"/>
      <c r="Z135" s="260"/>
      <c r="AA135" s="123" t="s">
        <v>28</v>
      </c>
      <c r="AB135" s="217" t="str">
        <f>CONCATENATE(AB134," x ",$AO$17," x ", AP133," x [1 + 0,5 x (",AW133," - 1)]  = ")</f>
        <v xml:space="preserve">3,8 x 307,7 x 1,0927 x [1 + 0,5 x (1,0076 - 1)]  = </v>
      </c>
      <c r="AC135" s="217"/>
      <c r="AD135" s="217"/>
      <c r="AE135" s="217"/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8"/>
      <c r="BA135" s="219">
        <f>ROUND(AB134*$AO$17*AP133*(1+0.5*(AW133-1)),2)</f>
        <v>1282.51</v>
      </c>
      <c r="BB135" s="220"/>
      <c r="BC135" s="220"/>
      <c r="BD135" s="220"/>
      <c r="BE135" s="220"/>
      <c r="BF135" s="221" t="s">
        <v>23</v>
      </c>
      <c r="BG135" s="221"/>
      <c r="BH135" s="222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48"/>
    </row>
    <row r="136" spans="1:106" s="119" customFormat="1" ht="12" customHeight="1" x14ac:dyDescent="0.2">
      <c r="A136" s="307" t="str">
        <f>график!A21</f>
        <v>5.4</v>
      </c>
      <c r="B136" s="308"/>
      <c r="C136" s="309" t="str">
        <f>график!B21</f>
        <v>организация мероприятий по удалению и (или) пересадке объектов растительного мира</v>
      </c>
      <c r="D136" s="309"/>
      <c r="E136" s="309"/>
      <c r="F136" s="309"/>
      <c r="G136" s="309"/>
      <c r="H136" s="309"/>
      <c r="I136" s="309"/>
      <c r="J136" s="309"/>
      <c r="K136" s="309"/>
      <c r="L136" s="309"/>
      <c r="M136" s="309"/>
      <c r="N136" s="309"/>
      <c r="O136" s="309"/>
      <c r="P136" s="309"/>
      <c r="Q136" s="309"/>
      <c r="R136" s="309"/>
      <c r="S136" s="309"/>
      <c r="T136" s="309"/>
      <c r="U136" s="309"/>
      <c r="V136" s="309"/>
      <c r="W136" s="309"/>
      <c r="X136" s="309"/>
      <c r="Y136" s="309"/>
      <c r="Z136" s="309"/>
      <c r="AA136" s="309"/>
      <c r="AB136" s="309"/>
      <c r="AC136" s="309"/>
      <c r="AD136" s="309"/>
      <c r="AE136" s="309"/>
      <c r="AF136" s="309"/>
      <c r="AG136" s="309"/>
      <c r="AH136" s="309"/>
      <c r="AI136" s="309"/>
      <c r="AJ136" s="309"/>
      <c r="AK136" s="309"/>
      <c r="AL136" s="309"/>
      <c r="AM136" s="309"/>
      <c r="AN136" s="309"/>
      <c r="AO136" s="309"/>
      <c r="AP136" s="309"/>
      <c r="AQ136" s="309"/>
      <c r="AR136" s="309"/>
      <c r="AS136" s="309"/>
      <c r="AT136" s="309"/>
      <c r="AU136" s="309"/>
      <c r="AV136" s="309"/>
      <c r="AW136" s="309"/>
      <c r="AX136" s="309"/>
      <c r="AY136" s="309"/>
      <c r="AZ136" s="309"/>
      <c r="BA136" s="335" t="s">
        <v>264</v>
      </c>
      <c r="BB136" s="335"/>
      <c r="BC136" s="335"/>
      <c r="BD136" s="335"/>
      <c r="BE136" s="335"/>
      <c r="BF136" s="335"/>
      <c r="BG136" s="335"/>
      <c r="BH136" s="336"/>
      <c r="BI136" s="146"/>
      <c r="BJ136" s="146"/>
      <c r="BK136" s="146"/>
      <c r="BL136" s="146"/>
      <c r="BM136" s="146"/>
      <c r="BN136" s="146"/>
      <c r="BO136" s="146"/>
      <c r="BP136" s="146"/>
      <c r="BQ136" s="146"/>
      <c r="BR136" s="146"/>
      <c r="BS136" s="146"/>
      <c r="BT136" s="146"/>
      <c r="BU136" s="146"/>
      <c r="BV136" s="146"/>
      <c r="BW136" s="146"/>
      <c r="BX136" s="146"/>
      <c r="BY136" s="146"/>
      <c r="BZ136" s="146"/>
      <c r="CA136" s="146"/>
      <c r="CB136" s="146"/>
      <c r="CC136" s="146"/>
      <c r="CD136" s="146"/>
      <c r="CE136" s="146"/>
      <c r="CF136" s="146"/>
      <c r="CG136" s="146"/>
      <c r="CH136" s="146"/>
      <c r="CI136" s="146"/>
      <c r="CJ136" s="146"/>
      <c r="CK136" s="146"/>
      <c r="CL136" s="146"/>
      <c r="CM136" s="146"/>
      <c r="CN136" s="146"/>
      <c r="CO136" s="146"/>
      <c r="CP136" s="146"/>
      <c r="CQ136" s="146"/>
      <c r="CR136" s="146"/>
      <c r="CS136" s="146"/>
      <c r="CT136" s="146"/>
      <c r="CU136" s="146"/>
      <c r="CV136" s="146"/>
      <c r="CW136" s="146"/>
      <c r="CX136" s="146"/>
      <c r="CY136" s="146"/>
      <c r="CZ136" s="146"/>
      <c r="DA136" s="146"/>
      <c r="DB136" s="147"/>
    </row>
    <row r="137" spans="1:106" s="117" customFormat="1" ht="12" customHeight="1" x14ac:dyDescent="0.25">
      <c r="A137" s="237" t="s">
        <v>216</v>
      </c>
      <c r="B137" s="238"/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  <c r="P137" s="238"/>
      <c r="Q137" s="238"/>
      <c r="R137" s="238"/>
      <c r="S137" s="238"/>
      <c r="T137" s="238"/>
      <c r="U137" s="238"/>
      <c r="V137" s="238"/>
      <c r="W137" s="239"/>
      <c r="X137" s="275" t="s">
        <v>45</v>
      </c>
      <c r="Y137" s="276"/>
      <c r="Z137" s="276"/>
      <c r="AA137" s="276"/>
      <c r="AB137" s="277" t="str">
        <f>график!C21</f>
        <v>июл 2024</v>
      </c>
      <c r="AC137" s="278"/>
      <c r="AD137" s="278"/>
      <c r="AE137" s="278"/>
      <c r="AF137" s="278"/>
      <c r="AG137" s="122" t="s">
        <v>1</v>
      </c>
      <c r="AH137" s="279" t="str">
        <f>график!E21</f>
        <v>июл 2024</v>
      </c>
      <c r="AI137" s="280"/>
      <c r="AJ137" s="280"/>
      <c r="AK137" s="280"/>
      <c r="AL137" s="280"/>
      <c r="AM137" s="211" t="s">
        <v>177</v>
      </c>
      <c r="AN137" s="211"/>
      <c r="AO137" s="120" t="s">
        <v>28</v>
      </c>
      <c r="AP137" s="281">
        <f>график!F21</f>
        <v>1.101</v>
      </c>
      <c r="AQ137" s="281"/>
      <c r="AR137" s="281"/>
      <c r="AS137" s="281"/>
      <c r="AT137" s="211" t="s">
        <v>178</v>
      </c>
      <c r="AU137" s="211"/>
      <c r="AV137" s="120" t="s">
        <v>28</v>
      </c>
      <c r="AW137" s="212">
        <f>график!G21</f>
        <v>1.0076000000000001</v>
      </c>
      <c r="AX137" s="212"/>
      <c r="AY137" s="212"/>
      <c r="AZ137" s="213"/>
      <c r="BA137" s="320"/>
      <c r="BB137" s="321"/>
      <c r="BC137" s="321"/>
      <c r="BD137" s="321"/>
      <c r="BE137" s="321"/>
      <c r="BF137" s="321"/>
      <c r="BG137" s="321"/>
      <c r="BH137" s="322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48"/>
    </row>
    <row r="138" spans="1:106" s="117" customFormat="1" ht="12" customHeight="1" x14ac:dyDescent="0.2">
      <c r="A138" s="337" t="s">
        <v>223</v>
      </c>
      <c r="B138" s="338"/>
      <c r="C138" s="338"/>
      <c r="D138" s="338"/>
      <c r="E138" s="338"/>
      <c r="F138" s="338"/>
      <c r="G138" s="338"/>
      <c r="H138" s="338"/>
      <c r="I138" s="338"/>
      <c r="J138" s="338"/>
      <c r="K138" s="338"/>
      <c r="L138" s="338"/>
      <c r="M138" s="338"/>
      <c r="N138" s="338"/>
      <c r="O138" s="338"/>
      <c r="P138" s="338"/>
      <c r="Q138" s="338"/>
      <c r="R138" s="338"/>
      <c r="S138" s="338"/>
      <c r="T138" s="338"/>
      <c r="U138" s="338"/>
      <c r="V138" s="338"/>
      <c r="W138" s="339"/>
      <c r="X138" s="273" t="s">
        <v>39</v>
      </c>
      <c r="Y138" s="274"/>
      <c r="Z138" s="274"/>
      <c r="AA138" s="46" t="s">
        <v>28</v>
      </c>
      <c r="AB138" s="217">
        <v>0.5</v>
      </c>
      <c r="AC138" s="217"/>
      <c r="AD138" s="217"/>
      <c r="AE138" s="217"/>
      <c r="AF138" s="282" t="s">
        <v>40</v>
      </c>
      <c r="AG138" s="274"/>
      <c r="AH138" s="274"/>
      <c r="AI138" s="274"/>
      <c r="AJ138" s="274"/>
      <c r="AK138" s="46" t="s">
        <v>28</v>
      </c>
      <c r="AL138" s="257">
        <v>4.9000000000000004</v>
      </c>
      <c r="AM138" s="258"/>
      <c r="AN138" s="258"/>
      <c r="AO138" s="258"/>
      <c r="AP138" s="258"/>
      <c r="AQ138" s="288"/>
      <c r="AR138" s="288"/>
      <c r="AS138" s="209"/>
      <c r="AT138" s="209"/>
      <c r="AU138" s="209"/>
      <c r="AV138" s="127"/>
      <c r="AW138" s="315"/>
      <c r="AX138" s="217"/>
      <c r="AY138" s="217"/>
      <c r="AZ138" s="218"/>
      <c r="BA138" s="219"/>
      <c r="BB138" s="220"/>
      <c r="BC138" s="220"/>
      <c r="BD138" s="220"/>
      <c r="BE138" s="220"/>
      <c r="BF138" s="221"/>
      <c r="BG138" s="221"/>
      <c r="BH138" s="222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48"/>
    </row>
    <row r="139" spans="1:106" s="117" customFormat="1" ht="12" customHeight="1" x14ac:dyDescent="0.2">
      <c r="A139" s="337"/>
      <c r="B139" s="338"/>
      <c r="C139" s="338"/>
      <c r="D139" s="338"/>
      <c r="E139" s="338"/>
      <c r="F139" s="338"/>
      <c r="G139" s="338"/>
      <c r="H139" s="338"/>
      <c r="I139" s="338"/>
      <c r="J139" s="338"/>
      <c r="K139" s="338"/>
      <c r="L139" s="338"/>
      <c r="M139" s="338"/>
      <c r="N139" s="338"/>
      <c r="O139" s="338"/>
      <c r="P139" s="338"/>
      <c r="Q139" s="338"/>
      <c r="R139" s="338"/>
      <c r="S139" s="338"/>
      <c r="T139" s="338"/>
      <c r="U139" s="338"/>
      <c r="V139" s="338"/>
      <c r="W139" s="339"/>
      <c r="X139" s="273" t="s">
        <v>43</v>
      </c>
      <c r="Y139" s="274"/>
      <c r="Z139" s="274"/>
      <c r="AA139" s="46" t="s">
        <v>28</v>
      </c>
      <c r="AB139" s="217">
        <v>1</v>
      </c>
      <c r="AC139" s="217"/>
      <c r="AD139" s="217"/>
      <c r="AE139" s="217"/>
      <c r="AF139" s="282" t="s">
        <v>44</v>
      </c>
      <c r="AG139" s="274"/>
      <c r="AH139" s="274"/>
      <c r="AI139" s="274"/>
      <c r="AJ139" s="274"/>
      <c r="AK139" s="46" t="s">
        <v>28</v>
      </c>
      <c r="AL139" s="257">
        <v>5.2</v>
      </c>
      <c r="AM139" s="258"/>
      <c r="AN139" s="258"/>
      <c r="AO139" s="258"/>
      <c r="AP139" s="258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66"/>
      <c r="BA139" s="219"/>
      <c r="BB139" s="220"/>
      <c r="BC139" s="220"/>
      <c r="BD139" s="220"/>
      <c r="BE139" s="220"/>
      <c r="BF139" s="221"/>
      <c r="BG139" s="221"/>
      <c r="BH139" s="222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48"/>
    </row>
    <row r="140" spans="1:106" s="117" customFormat="1" ht="12" customHeight="1" x14ac:dyDescent="0.2">
      <c r="A140" s="337"/>
      <c r="B140" s="338"/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8"/>
      <c r="R140" s="338"/>
      <c r="S140" s="338"/>
      <c r="T140" s="338"/>
      <c r="U140" s="338"/>
      <c r="V140" s="338"/>
      <c r="W140" s="339"/>
      <c r="X140" s="259" t="s">
        <v>22</v>
      </c>
      <c r="Y140" s="260"/>
      <c r="Z140" s="260"/>
      <c r="AA140" s="123" t="s">
        <v>28</v>
      </c>
      <c r="AB140" s="217" t="str">
        <f>CONCATENATE(AL138," + [(",AL139," - ", AL138,") / (",AB139," - ", AB138,")] x (",D144," - ",AB138,")  = ")</f>
        <v xml:space="preserve">4,9 + [(5,2 - 4,9) / (1 - 0,5)] x (0,8 - 0,5)  = </v>
      </c>
      <c r="AC140" s="217"/>
      <c r="AD140" s="217"/>
      <c r="AE140" s="217"/>
      <c r="AF140" s="217"/>
      <c r="AG140" s="217"/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18"/>
      <c r="BA140" s="219">
        <f>ROUND(AL138 + ((AL139-AL138) / (AB139-AB138)) * (D144-AB138),2)</f>
        <v>5.08</v>
      </c>
      <c r="BB140" s="220"/>
      <c r="BC140" s="220"/>
      <c r="BD140" s="220"/>
      <c r="BE140" s="220"/>
      <c r="BF140" s="221" t="s">
        <v>182</v>
      </c>
      <c r="BG140" s="221"/>
      <c r="BH140" s="222"/>
      <c r="BI140" s="116"/>
      <c r="BJ140" s="175" t="s">
        <v>190</v>
      </c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48"/>
    </row>
    <row r="141" spans="1:106" s="117" customFormat="1" ht="12" customHeight="1" x14ac:dyDescent="0.25">
      <c r="A141" s="285" t="s">
        <v>217</v>
      </c>
      <c r="B141" s="286"/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7"/>
      <c r="X141" s="273" t="s">
        <v>218</v>
      </c>
      <c r="Y141" s="274"/>
      <c r="Z141" s="274"/>
      <c r="AA141" s="46" t="s">
        <v>28</v>
      </c>
      <c r="AB141" s="208">
        <v>0.6</v>
      </c>
      <c r="AC141" s="208"/>
      <c r="AD141" s="208"/>
      <c r="AE141" s="288" t="s">
        <v>203</v>
      </c>
      <c r="AF141" s="288"/>
      <c r="AG141" s="127" t="s">
        <v>28</v>
      </c>
      <c r="AH141" s="210">
        <f>D144</f>
        <v>0.8</v>
      </c>
      <c r="AI141" s="210"/>
      <c r="AJ141" s="210"/>
      <c r="AK141" s="282" t="s">
        <v>208</v>
      </c>
      <c r="AL141" s="282"/>
      <c r="AM141" s="46" t="s">
        <v>28</v>
      </c>
      <c r="AN141" s="217" t="str">
        <f>CONCATENATE("1 + (",AB141," - 1) x ",AH141," / ",D144)</f>
        <v>1 + (0,6 - 1) x 0,8 / 0,8</v>
      </c>
      <c r="AO141" s="217"/>
      <c r="AP141" s="217"/>
      <c r="AQ141" s="217"/>
      <c r="AR141" s="217"/>
      <c r="AS141" s="217"/>
      <c r="AT141" s="217"/>
      <c r="AU141" s="217"/>
      <c r="AV141" s="217"/>
      <c r="AW141" s="217"/>
      <c r="AX141" s="217"/>
      <c r="AY141" s="217"/>
      <c r="AZ141" s="139" t="s">
        <v>28</v>
      </c>
      <c r="BA141" s="289">
        <f>ROUND(1 + (AB141 - 1) *(AH141 / D144),2)</f>
        <v>0.6</v>
      </c>
      <c r="BB141" s="290"/>
      <c r="BC141" s="290"/>
      <c r="BD141" s="290"/>
      <c r="BE141" s="290"/>
      <c r="BF141" s="129"/>
      <c r="BG141" s="129"/>
      <c r="BH141" s="130"/>
      <c r="BI141" s="116"/>
      <c r="BJ141" s="116"/>
      <c r="BK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48"/>
    </row>
    <row r="142" spans="1:106" s="117" customFormat="1" ht="12" customHeight="1" x14ac:dyDescent="0.25">
      <c r="A142" s="285" t="s">
        <v>219</v>
      </c>
      <c r="B142" s="286"/>
      <c r="C142" s="286"/>
      <c r="D142" s="286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7"/>
      <c r="X142" s="273" t="s">
        <v>202</v>
      </c>
      <c r="Y142" s="274"/>
      <c r="Z142" s="274"/>
      <c r="AA142" s="46" t="s">
        <v>28</v>
      </c>
      <c r="AB142" s="208">
        <v>1.1000000000000001</v>
      </c>
      <c r="AC142" s="208"/>
      <c r="AD142" s="208"/>
      <c r="AE142" s="288" t="s">
        <v>203</v>
      </c>
      <c r="AF142" s="288"/>
      <c r="AG142" s="127" t="s">
        <v>28</v>
      </c>
      <c r="AH142" s="210">
        <v>0.6</v>
      </c>
      <c r="AI142" s="210"/>
      <c r="AJ142" s="210"/>
      <c r="AK142" s="282" t="s">
        <v>208</v>
      </c>
      <c r="AL142" s="282"/>
      <c r="AM142" s="46" t="s">
        <v>28</v>
      </c>
      <c r="AN142" s="217" t="str">
        <f>CONCATENATE("1 + (",AB142," - 1) x ",AH142," / ",D144)</f>
        <v>1 + (1,1 - 1) x 0,6 / 0,8</v>
      </c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139" t="s">
        <v>28</v>
      </c>
      <c r="BA142" s="289">
        <f>ROUND(1 + (AB142 - 1) *(AH142 / D144),2)</f>
        <v>1.08</v>
      </c>
      <c r="BB142" s="290"/>
      <c r="BC142" s="290"/>
      <c r="BD142" s="290"/>
      <c r="BE142" s="290"/>
      <c r="BF142" s="129"/>
      <c r="BG142" s="129"/>
      <c r="BH142" s="130"/>
      <c r="BI142" s="116"/>
      <c r="BJ142" s="183">
        <f>(1+(BA141-1)+(BA142-1))</f>
        <v>0.68</v>
      </c>
      <c r="BK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48"/>
    </row>
    <row r="143" spans="1:106" s="117" customFormat="1" ht="12" customHeight="1" x14ac:dyDescent="0.2">
      <c r="A143" s="160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2"/>
      <c r="X143" s="259" t="s">
        <v>209</v>
      </c>
      <c r="Y143" s="260"/>
      <c r="Z143" s="260"/>
      <c r="AA143" s="123" t="s">
        <v>28</v>
      </c>
      <c r="AB143" s="217" t="str">
        <f>CONCATENATE(BA140," x [1 + (",BA141," - 1) + (",BA142," - 1)] = ",BA140," x ",BJ142," = ")</f>
        <v xml:space="preserve">5,08 x [1 + (0,6 - 1) + (1,08 - 1)] = 5,08 x 0,68 = </v>
      </c>
      <c r="AC143" s="217"/>
      <c r="AD143" s="217"/>
      <c r="AE143" s="217"/>
      <c r="AF143" s="217"/>
      <c r="AG143" s="217"/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7"/>
      <c r="AY143" s="217"/>
      <c r="AZ143" s="218"/>
      <c r="BA143" s="219">
        <f>ROUND(BA140*BJ142,2)</f>
        <v>3.45</v>
      </c>
      <c r="BB143" s="220"/>
      <c r="BC143" s="220"/>
      <c r="BD143" s="220"/>
      <c r="BE143" s="220"/>
      <c r="BF143" s="221" t="s">
        <v>182</v>
      </c>
      <c r="BG143" s="221"/>
      <c r="BH143" s="222"/>
      <c r="BI143" s="116"/>
      <c r="BJ143" s="175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48"/>
    </row>
    <row r="144" spans="1:106" s="117" customFormat="1" ht="12" customHeight="1" x14ac:dyDescent="0.25">
      <c r="A144" s="223" t="s">
        <v>189</v>
      </c>
      <c r="B144" s="224"/>
      <c r="C144" s="142" t="s">
        <v>28</v>
      </c>
      <c r="D144" s="350">
        <v>0.8</v>
      </c>
      <c r="E144" s="350"/>
      <c r="F144" s="350"/>
      <c r="G144" s="350"/>
      <c r="H144" s="350"/>
      <c r="I144" s="149"/>
      <c r="J144" s="149"/>
      <c r="K144" s="149"/>
      <c r="L144" s="149"/>
      <c r="M144" s="149"/>
      <c r="N144" s="149"/>
      <c r="O144" s="149"/>
      <c r="P144" s="149"/>
      <c r="Q144" s="149"/>
      <c r="R144" s="224"/>
      <c r="S144" s="224"/>
      <c r="T144" s="142"/>
      <c r="U144" s="227"/>
      <c r="V144" s="226"/>
      <c r="W144" s="228"/>
      <c r="X144" s="229" t="s">
        <v>181</v>
      </c>
      <c r="Y144" s="230"/>
      <c r="Z144" s="230"/>
      <c r="AA144" s="126" t="s">
        <v>28</v>
      </c>
      <c r="AB144" s="231" t="str">
        <f>CONCATENATE(BA143," x ",$AO$17," x ", AP137," x [1 + 0,5 x (",AW137," - 1)]  = ")</f>
        <v xml:space="preserve">3,45 x 307,7 x 1,101 x [1 + 0,5 x (1,0076 - 1)]  = </v>
      </c>
      <c r="AC144" s="231"/>
      <c r="AD144" s="231"/>
      <c r="AE144" s="231"/>
      <c r="AF144" s="231"/>
      <c r="AG144" s="231"/>
      <c r="AH144" s="231"/>
      <c r="AI144" s="231"/>
      <c r="AJ144" s="231"/>
      <c r="AK144" s="231"/>
      <c r="AL144" s="231"/>
      <c r="AM144" s="231"/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2"/>
      <c r="BA144" s="233">
        <f>ROUND(BA143*$AO$17*AP137*(1+0.5*(AW137-1)),2)</f>
        <v>1173.22</v>
      </c>
      <c r="BB144" s="234"/>
      <c r="BC144" s="234"/>
      <c r="BD144" s="234"/>
      <c r="BE144" s="234"/>
      <c r="BF144" s="235" t="s">
        <v>23</v>
      </c>
      <c r="BG144" s="235"/>
      <c r="BH144" s="23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48"/>
    </row>
    <row r="145" spans="1:106" s="119" customFormat="1" ht="12" customHeight="1" x14ac:dyDescent="0.2">
      <c r="A145" s="307" t="str">
        <f>график!A22</f>
        <v>5.5</v>
      </c>
      <c r="B145" s="308"/>
      <c r="C145" s="309" t="str">
        <f>график!B22</f>
        <v>организация геодезических работ</v>
      </c>
      <c r="D145" s="309"/>
      <c r="E145" s="309"/>
      <c r="F145" s="309"/>
      <c r="G145" s="309"/>
      <c r="H145" s="309"/>
      <c r="I145" s="309"/>
      <c r="J145" s="309"/>
      <c r="K145" s="309"/>
      <c r="L145" s="309"/>
      <c r="M145" s="309"/>
      <c r="N145" s="309"/>
      <c r="O145" s="309"/>
      <c r="P145" s="309"/>
      <c r="Q145" s="309"/>
      <c r="R145" s="309"/>
      <c r="S145" s="309"/>
      <c r="T145" s="309"/>
      <c r="U145" s="309"/>
      <c r="V145" s="309"/>
      <c r="W145" s="309"/>
      <c r="X145" s="309"/>
      <c r="Y145" s="309"/>
      <c r="Z145" s="309"/>
      <c r="AA145" s="309"/>
      <c r="AB145" s="309"/>
      <c r="AC145" s="309"/>
      <c r="AD145" s="309"/>
      <c r="AE145" s="309"/>
      <c r="AF145" s="309"/>
      <c r="AG145" s="309"/>
      <c r="AH145" s="309"/>
      <c r="AI145" s="309"/>
      <c r="AJ145" s="309"/>
      <c r="AK145" s="309"/>
      <c r="AL145" s="309"/>
      <c r="AM145" s="309"/>
      <c r="AN145" s="309"/>
      <c r="AO145" s="309"/>
      <c r="AP145" s="309"/>
      <c r="AQ145" s="309"/>
      <c r="AR145" s="309"/>
      <c r="AS145" s="309"/>
      <c r="AT145" s="309"/>
      <c r="AU145" s="309"/>
      <c r="AV145" s="309"/>
      <c r="AW145" s="309"/>
      <c r="AX145" s="309"/>
      <c r="AY145" s="309"/>
      <c r="AZ145" s="309"/>
      <c r="BA145" s="335" t="s">
        <v>264</v>
      </c>
      <c r="BB145" s="335"/>
      <c r="BC145" s="335"/>
      <c r="BD145" s="335"/>
      <c r="BE145" s="335"/>
      <c r="BF145" s="335"/>
      <c r="BG145" s="335"/>
      <c r="BH145" s="336"/>
      <c r="BI145" s="146"/>
      <c r="BJ145" s="146"/>
      <c r="BK145" s="146"/>
      <c r="BL145" s="146"/>
      <c r="BM145" s="146"/>
      <c r="BN145" s="146"/>
      <c r="BO145" s="146"/>
      <c r="BP145" s="146"/>
      <c r="BQ145" s="146"/>
      <c r="BR145" s="146"/>
      <c r="BS145" s="146"/>
      <c r="BT145" s="146"/>
      <c r="BU145" s="146"/>
      <c r="BV145" s="146"/>
      <c r="BW145" s="146"/>
      <c r="BX145" s="146"/>
      <c r="BY145" s="146"/>
      <c r="BZ145" s="146"/>
      <c r="CA145" s="146"/>
      <c r="CB145" s="146"/>
      <c r="CC145" s="146"/>
      <c r="CD145" s="146"/>
      <c r="CE145" s="146"/>
      <c r="CF145" s="146"/>
      <c r="CG145" s="146"/>
      <c r="CH145" s="146"/>
      <c r="CI145" s="146"/>
      <c r="CJ145" s="146"/>
      <c r="CK145" s="146"/>
      <c r="CL145" s="146"/>
      <c r="CM145" s="146"/>
      <c r="CN145" s="146"/>
      <c r="CO145" s="146"/>
      <c r="CP145" s="146"/>
      <c r="CQ145" s="146"/>
      <c r="CR145" s="146"/>
      <c r="CS145" s="146"/>
      <c r="CT145" s="146"/>
      <c r="CU145" s="146"/>
      <c r="CV145" s="146"/>
      <c r="CW145" s="146"/>
      <c r="CX145" s="146"/>
      <c r="CY145" s="146"/>
      <c r="CZ145" s="146"/>
      <c r="DA145" s="146"/>
      <c r="DB145" s="147"/>
    </row>
    <row r="146" spans="1:106" s="117" customFormat="1" ht="12" customHeight="1" x14ac:dyDescent="0.25">
      <c r="A146" s="237" t="s">
        <v>221</v>
      </c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238"/>
      <c r="Q146" s="238"/>
      <c r="R146" s="238"/>
      <c r="S146" s="238"/>
      <c r="T146" s="238"/>
      <c r="U146" s="238"/>
      <c r="V146" s="238"/>
      <c r="W146" s="239"/>
      <c r="X146" s="275" t="s">
        <v>45</v>
      </c>
      <c r="Y146" s="276"/>
      <c r="Z146" s="276"/>
      <c r="AA146" s="276"/>
      <c r="AB146" s="277" t="str">
        <f>график!C22</f>
        <v>июл 2024</v>
      </c>
      <c r="AC146" s="278"/>
      <c r="AD146" s="278"/>
      <c r="AE146" s="278"/>
      <c r="AF146" s="278"/>
      <c r="AG146" s="122" t="s">
        <v>1</v>
      </c>
      <c r="AH146" s="280" t="str">
        <f>график!E22</f>
        <v>авг 2024</v>
      </c>
      <c r="AI146" s="280"/>
      <c r="AJ146" s="280"/>
      <c r="AK146" s="280"/>
      <c r="AL146" s="280"/>
      <c r="AM146" s="211" t="s">
        <v>177</v>
      </c>
      <c r="AN146" s="211"/>
      <c r="AO146" s="120" t="s">
        <v>28</v>
      </c>
      <c r="AP146" s="281">
        <f>график!F22</f>
        <v>1.101</v>
      </c>
      <c r="AQ146" s="281"/>
      <c r="AR146" s="281"/>
      <c r="AS146" s="281"/>
      <c r="AT146" s="211" t="s">
        <v>178</v>
      </c>
      <c r="AU146" s="211"/>
      <c r="AV146" s="120" t="s">
        <v>28</v>
      </c>
      <c r="AW146" s="212">
        <f>график!G22</f>
        <v>1.0153000000000001</v>
      </c>
      <c r="AX146" s="212"/>
      <c r="AY146" s="212"/>
      <c r="AZ146" s="213"/>
      <c r="BA146" s="320"/>
      <c r="BB146" s="321"/>
      <c r="BC146" s="321"/>
      <c r="BD146" s="321"/>
      <c r="BE146" s="321"/>
      <c r="BF146" s="321"/>
      <c r="BG146" s="321"/>
      <c r="BH146" s="322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48"/>
    </row>
    <row r="147" spans="1:106" s="117" customFormat="1" ht="12" customHeight="1" x14ac:dyDescent="0.2">
      <c r="A147" s="337" t="s">
        <v>222</v>
      </c>
      <c r="B147" s="338"/>
      <c r="C147" s="338"/>
      <c r="D147" s="338"/>
      <c r="E147" s="338"/>
      <c r="F147" s="338"/>
      <c r="G147" s="338"/>
      <c r="H147" s="338"/>
      <c r="I147" s="338"/>
      <c r="J147" s="338"/>
      <c r="K147" s="338"/>
      <c r="L147" s="338"/>
      <c r="M147" s="338"/>
      <c r="N147" s="338"/>
      <c r="O147" s="338"/>
      <c r="P147" s="338"/>
      <c r="Q147" s="338"/>
      <c r="R147" s="338"/>
      <c r="S147" s="338"/>
      <c r="T147" s="338"/>
      <c r="U147" s="338"/>
      <c r="V147" s="338"/>
      <c r="W147" s="339"/>
      <c r="X147" s="273" t="s">
        <v>39</v>
      </c>
      <c r="Y147" s="274"/>
      <c r="Z147" s="274"/>
      <c r="AA147" s="46" t="s">
        <v>28</v>
      </c>
      <c r="AB147" s="288">
        <v>0.5</v>
      </c>
      <c r="AC147" s="288"/>
      <c r="AD147" s="288"/>
      <c r="AE147" s="288"/>
      <c r="AF147" s="282" t="s">
        <v>40</v>
      </c>
      <c r="AG147" s="274"/>
      <c r="AH147" s="274"/>
      <c r="AI147" s="274"/>
      <c r="AJ147" s="274"/>
      <c r="AK147" s="46" t="s">
        <v>28</v>
      </c>
      <c r="AL147" s="257">
        <v>6.1</v>
      </c>
      <c r="AM147" s="258"/>
      <c r="AN147" s="258"/>
      <c r="AO147" s="258"/>
      <c r="AP147" s="258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66"/>
      <c r="BA147" s="219"/>
      <c r="BB147" s="220"/>
      <c r="BC147" s="220"/>
      <c r="BD147" s="220"/>
      <c r="BE147" s="220"/>
      <c r="BF147" s="221"/>
      <c r="BG147" s="221"/>
      <c r="BH147" s="222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48"/>
    </row>
    <row r="148" spans="1:106" s="117" customFormat="1" ht="12" customHeight="1" x14ac:dyDescent="0.2">
      <c r="A148" s="337"/>
      <c r="B148" s="338"/>
      <c r="C148" s="338"/>
      <c r="D148" s="338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/>
      <c r="P148" s="338"/>
      <c r="Q148" s="338"/>
      <c r="R148" s="338"/>
      <c r="S148" s="338"/>
      <c r="T148" s="338"/>
      <c r="U148" s="338"/>
      <c r="V148" s="338"/>
      <c r="W148" s="339"/>
      <c r="X148" s="273" t="s">
        <v>43</v>
      </c>
      <c r="Y148" s="274"/>
      <c r="Z148" s="274"/>
      <c r="AA148" s="46" t="s">
        <v>28</v>
      </c>
      <c r="AB148" s="288">
        <v>1</v>
      </c>
      <c r="AC148" s="288"/>
      <c r="AD148" s="288"/>
      <c r="AE148" s="288"/>
      <c r="AF148" s="282" t="s">
        <v>44</v>
      </c>
      <c r="AG148" s="274"/>
      <c r="AH148" s="274"/>
      <c r="AI148" s="274"/>
      <c r="AJ148" s="274"/>
      <c r="AK148" s="46" t="s">
        <v>28</v>
      </c>
      <c r="AL148" s="257">
        <v>6.4</v>
      </c>
      <c r="AM148" s="258"/>
      <c r="AN148" s="258"/>
      <c r="AO148" s="258"/>
      <c r="AP148" s="258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66"/>
      <c r="BA148" s="219"/>
      <c r="BB148" s="220"/>
      <c r="BC148" s="220"/>
      <c r="BD148" s="220"/>
      <c r="BE148" s="220"/>
      <c r="BF148" s="221"/>
      <c r="BG148" s="221"/>
      <c r="BH148" s="222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48"/>
    </row>
    <row r="149" spans="1:106" s="117" customFormat="1" ht="12" customHeight="1" x14ac:dyDescent="0.2">
      <c r="A149" s="337"/>
      <c r="B149" s="338"/>
      <c r="C149" s="338"/>
      <c r="D149" s="338"/>
      <c r="E149" s="338"/>
      <c r="F149" s="338"/>
      <c r="G149" s="338"/>
      <c r="H149" s="338"/>
      <c r="I149" s="338"/>
      <c r="J149" s="338"/>
      <c r="K149" s="338"/>
      <c r="L149" s="338"/>
      <c r="M149" s="338"/>
      <c r="N149" s="338"/>
      <c r="O149" s="338"/>
      <c r="P149" s="338"/>
      <c r="Q149" s="338"/>
      <c r="R149" s="338"/>
      <c r="S149" s="338"/>
      <c r="T149" s="338"/>
      <c r="U149" s="338"/>
      <c r="V149" s="338"/>
      <c r="W149" s="339"/>
      <c r="X149" s="259" t="s">
        <v>22</v>
      </c>
      <c r="Y149" s="260"/>
      <c r="Z149" s="260"/>
      <c r="AA149" s="123" t="s">
        <v>28</v>
      </c>
      <c r="AB149" s="217" t="str">
        <f>CONCATENATE(AL147," + [ (",AL148," - ", AL147,") / (",AB148," - ", AB147,") ] x  (",D150," - ",AB147,") = ")</f>
        <v xml:space="preserve">6,1 + [ (6,4 - 6,1) / (1 - 0,5) ] x  (0,8 - 0,5) = </v>
      </c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8"/>
      <c r="BA149" s="219">
        <f>ROUND(AL147 + ((AL148-AL147) / (AB148-AB147)) * (D150-AB147),2)</f>
        <v>6.28</v>
      </c>
      <c r="BB149" s="220"/>
      <c r="BC149" s="220"/>
      <c r="BD149" s="220"/>
      <c r="BE149" s="220"/>
      <c r="BF149" s="221" t="s">
        <v>182</v>
      </c>
      <c r="BG149" s="221"/>
      <c r="BH149" s="222"/>
      <c r="BI149" s="116"/>
      <c r="BJ149" s="175" t="s">
        <v>190</v>
      </c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48"/>
    </row>
    <row r="150" spans="1:106" s="117" customFormat="1" ht="12" customHeight="1" x14ac:dyDescent="0.25">
      <c r="A150" s="223" t="s">
        <v>189</v>
      </c>
      <c r="B150" s="224"/>
      <c r="C150" s="142" t="s">
        <v>28</v>
      </c>
      <c r="D150" s="350">
        <v>0.8</v>
      </c>
      <c r="E150" s="350"/>
      <c r="F150" s="350"/>
      <c r="G150" s="350"/>
      <c r="H150" s="350"/>
      <c r="I150" s="149"/>
      <c r="J150" s="149"/>
      <c r="K150" s="149"/>
      <c r="L150" s="149"/>
      <c r="M150" s="149"/>
      <c r="N150" s="149"/>
      <c r="O150" s="149"/>
      <c r="P150" s="149"/>
      <c r="Q150" s="149"/>
      <c r="R150" s="224"/>
      <c r="S150" s="224"/>
      <c r="T150" s="142"/>
      <c r="U150" s="227"/>
      <c r="V150" s="226"/>
      <c r="W150" s="228"/>
      <c r="X150" s="229" t="s">
        <v>181</v>
      </c>
      <c r="Y150" s="230"/>
      <c r="Z150" s="230"/>
      <c r="AA150" s="126" t="s">
        <v>28</v>
      </c>
      <c r="AB150" s="231" t="str">
        <f>CONCATENATE(BA149," x ",$AO$17," x ", AP146," x [1 + 0,5 x (",AW146," - 1)]  = ")</f>
        <v xml:space="preserve">6,28 x 307,7 x 1,101 x [1 + 0,5 x (1,0153 - 1)]  = </v>
      </c>
      <c r="AC150" s="231"/>
      <c r="AD150" s="231"/>
      <c r="AE150" s="231"/>
      <c r="AF150" s="231"/>
      <c r="AG150" s="231"/>
      <c r="AH150" s="231"/>
      <c r="AI150" s="231"/>
      <c r="AJ150" s="231"/>
      <c r="AK150" s="231"/>
      <c r="AL150" s="231"/>
      <c r="AM150" s="231"/>
      <c r="AN150" s="231"/>
      <c r="AO150" s="231"/>
      <c r="AP150" s="231"/>
      <c r="AQ150" s="231"/>
      <c r="AR150" s="231"/>
      <c r="AS150" s="231"/>
      <c r="AT150" s="231"/>
      <c r="AU150" s="231"/>
      <c r="AV150" s="231"/>
      <c r="AW150" s="231"/>
      <c r="AX150" s="231"/>
      <c r="AY150" s="231"/>
      <c r="AZ150" s="232"/>
      <c r="BA150" s="233">
        <f>ROUND(BA149*$AO$17*AP146*(1+0.5*(AW146-1)),2)</f>
        <v>2143.8000000000002</v>
      </c>
      <c r="BB150" s="234"/>
      <c r="BC150" s="234"/>
      <c r="BD150" s="234"/>
      <c r="BE150" s="234"/>
      <c r="BF150" s="235" t="s">
        <v>23</v>
      </c>
      <c r="BG150" s="235"/>
      <c r="BH150" s="23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48"/>
    </row>
    <row r="151" spans="1:106" s="119" customFormat="1" ht="12" customHeight="1" x14ac:dyDescent="0.2">
      <c r="A151" s="307" t="str">
        <f>график!A23</f>
        <v>5.6</v>
      </c>
      <c r="B151" s="308"/>
      <c r="C151" s="309" t="str">
        <f>график!B23</f>
        <v>организация работ по инженерному обустройству строительной площадки</v>
      </c>
      <c r="D151" s="309"/>
      <c r="E151" s="309"/>
      <c r="F151" s="309"/>
      <c r="G151" s="309"/>
      <c r="H151" s="309"/>
      <c r="I151" s="309"/>
      <c r="J151" s="309"/>
      <c r="K151" s="309"/>
      <c r="L151" s="309"/>
      <c r="M151" s="309"/>
      <c r="N151" s="309"/>
      <c r="O151" s="309"/>
      <c r="P151" s="309"/>
      <c r="Q151" s="309"/>
      <c r="R151" s="309"/>
      <c r="S151" s="309"/>
      <c r="T151" s="309"/>
      <c r="U151" s="309"/>
      <c r="V151" s="309"/>
      <c r="W151" s="309"/>
      <c r="X151" s="309"/>
      <c r="Y151" s="309"/>
      <c r="Z151" s="309"/>
      <c r="AA151" s="309"/>
      <c r="AB151" s="309"/>
      <c r="AC151" s="309"/>
      <c r="AD151" s="309"/>
      <c r="AE151" s="309"/>
      <c r="AF151" s="309"/>
      <c r="AG151" s="309"/>
      <c r="AH151" s="309"/>
      <c r="AI151" s="309"/>
      <c r="AJ151" s="309"/>
      <c r="AK151" s="309"/>
      <c r="AL151" s="309"/>
      <c r="AM151" s="309"/>
      <c r="AN151" s="309"/>
      <c r="AO151" s="309"/>
      <c r="AP151" s="309"/>
      <c r="AQ151" s="309"/>
      <c r="AR151" s="309"/>
      <c r="AS151" s="309"/>
      <c r="AT151" s="309"/>
      <c r="AU151" s="309"/>
      <c r="AV151" s="309"/>
      <c r="AW151" s="309"/>
      <c r="AX151" s="309"/>
      <c r="AY151" s="309"/>
      <c r="AZ151" s="309"/>
      <c r="BA151" s="310" t="s">
        <v>264</v>
      </c>
      <c r="BB151" s="310"/>
      <c r="BC151" s="310"/>
      <c r="BD151" s="310"/>
      <c r="BE151" s="310"/>
      <c r="BF151" s="310"/>
      <c r="BG151" s="310"/>
      <c r="BH151" s="311"/>
      <c r="BI151" s="146"/>
      <c r="BJ151" s="146"/>
      <c r="BK151" s="146"/>
      <c r="BL151" s="146"/>
      <c r="BM151" s="146"/>
      <c r="BN151" s="146"/>
      <c r="BO151" s="146"/>
      <c r="BP151" s="146"/>
      <c r="BQ151" s="146"/>
      <c r="BR151" s="146"/>
      <c r="BS151" s="146"/>
      <c r="BT151" s="146"/>
      <c r="BU151" s="146"/>
      <c r="BV151" s="146"/>
      <c r="BW151" s="146"/>
      <c r="BX151" s="146"/>
      <c r="BY151" s="146"/>
      <c r="BZ151" s="146"/>
      <c r="CA151" s="146"/>
      <c r="CB151" s="146"/>
      <c r="CC151" s="146"/>
      <c r="CD151" s="146"/>
      <c r="CE151" s="146"/>
      <c r="CF151" s="146"/>
      <c r="CG151" s="146"/>
      <c r="CH151" s="146"/>
      <c r="CI151" s="146"/>
      <c r="CJ151" s="146"/>
      <c r="CK151" s="146"/>
      <c r="CL151" s="146"/>
      <c r="CM151" s="146"/>
      <c r="CN151" s="146"/>
      <c r="CO151" s="146"/>
      <c r="CP151" s="146"/>
      <c r="CQ151" s="146"/>
      <c r="CR151" s="146"/>
      <c r="CS151" s="146"/>
      <c r="CT151" s="146"/>
      <c r="CU151" s="146"/>
      <c r="CV151" s="146"/>
      <c r="CW151" s="146"/>
      <c r="CX151" s="146"/>
      <c r="CY151" s="146"/>
      <c r="CZ151" s="146"/>
      <c r="DA151" s="146"/>
      <c r="DB151" s="147"/>
    </row>
    <row r="152" spans="1:106" s="117" customFormat="1" ht="12" customHeight="1" x14ac:dyDescent="0.25">
      <c r="A152" s="237" t="s">
        <v>224</v>
      </c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38"/>
      <c r="N152" s="238"/>
      <c r="O152" s="238"/>
      <c r="P152" s="238"/>
      <c r="Q152" s="238"/>
      <c r="R152" s="238"/>
      <c r="S152" s="238"/>
      <c r="T152" s="238"/>
      <c r="U152" s="238"/>
      <c r="V152" s="238"/>
      <c r="W152" s="239"/>
      <c r="X152" s="275" t="s">
        <v>45</v>
      </c>
      <c r="Y152" s="276"/>
      <c r="Z152" s="276"/>
      <c r="AA152" s="276"/>
      <c r="AB152" s="277" t="str">
        <f>график!C23</f>
        <v>июл 2024</v>
      </c>
      <c r="AC152" s="278"/>
      <c r="AD152" s="278"/>
      <c r="AE152" s="278"/>
      <c r="AF152" s="278"/>
      <c r="AG152" s="122" t="s">
        <v>1</v>
      </c>
      <c r="AH152" s="279" t="str">
        <f>график!E23</f>
        <v>июл 2024</v>
      </c>
      <c r="AI152" s="280"/>
      <c r="AJ152" s="280"/>
      <c r="AK152" s="280"/>
      <c r="AL152" s="280"/>
      <c r="AM152" s="211" t="s">
        <v>177</v>
      </c>
      <c r="AN152" s="211"/>
      <c r="AO152" s="120" t="s">
        <v>28</v>
      </c>
      <c r="AP152" s="281">
        <f>график!F23</f>
        <v>1.101</v>
      </c>
      <c r="AQ152" s="281"/>
      <c r="AR152" s="281"/>
      <c r="AS152" s="281"/>
      <c r="AT152" s="211" t="s">
        <v>178</v>
      </c>
      <c r="AU152" s="211"/>
      <c r="AV152" s="120" t="s">
        <v>28</v>
      </c>
      <c r="AW152" s="212">
        <f>график!G23</f>
        <v>1.0076000000000001</v>
      </c>
      <c r="AX152" s="212"/>
      <c r="AY152" s="212"/>
      <c r="AZ152" s="213"/>
      <c r="BA152" s="320"/>
      <c r="BB152" s="321"/>
      <c r="BC152" s="321"/>
      <c r="BD152" s="321"/>
      <c r="BE152" s="321"/>
      <c r="BF152" s="321"/>
      <c r="BG152" s="321"/>
      <c r="BH152" s="322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48"/>
    </row>
    <row r="153" spans="1:106" s="117" customFormat="1" ht="12" customHeight="1" x14ac:dyDescent="0.2">
      <c r="A153" s="337" t="s">
        <v>222</v>
      </c>
      <c r="B153" s="338"/>
      <c r="C153" s="338"/>
      <c r="D153" s="338"/>
      <c r="E153" s="338"/>
      <c r="F153" s="338"/>
      <c r="G153" s="338"/>
      <c r="H153" s="338"/>
      <c r="I153" s="338"/>
      <c r="J153" s="338"/>
      <c r="K153" s="338"/>
      <c r="L153" s="338"/>
      <c r="M153" s="338"/>
      <c r="N153" s="338"/>
      <c r="O153" s="338"/>
      <c r="P153" s="338"/>
      <c r="Q153" s="338"/>
      <c r="R153" s="338"/>
      <c r="S153" s="338"/>
      <c r="T153" s="338"/>
      <c r="U153" s="338"/>
      <c r="V153" s="338"/>
      <c r="W153" s="339"/>
      <c r="X153" s="273" t="s">
        <v>39</v>
      </c>
      <c r="Y153" s="274"/>
      <c r="Z153" s="274"/>
      <c r="AA153" s="46" t="s">
        <v>28</v>
      </c>
      <c r="AB153" s="288">
        <v>0.5</v>
      </c>
      <c r="AC153" s="288"/>
      <c r="AD153" s="288"/>
      <c r="AE153" s="288"/>
      <c r="AF153" s="282" t="s">
        <v>40</v>
      </c>
      <c r="AG153" s="274"/>
      <c r="AH153" s="274"/>
      <c r="AI153" s="274"/>
      <c r="AJ153" s="274"/>
      <c r="AK153" s="46" t="s">
        <v>28</v>
      </c>
      <c r="AL153" s="257">
        <v>9</v>
      </c>
      <c r="AM153" s="258"/>
      <c r="AN153" s="258"/>
      <c r="AO153" s="258"/>
      <c r="AP153" s="258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66"/>
      <c r="BA153" s="219"/>
      <c r="BB153" s="220"/>
      <c r="BC153" s="220"/>
      <c r="BD153" s="220"/>
      <c r="BE153" s="220"/>
      <c r="BF153" s="221"/>
      <c r="BG153" s="221"/>
      <c r="BH153" s="222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48"/>
    </row>
    <row r="154" spans="1:106" s="117" customFormat="1" ht="12" customHeight="1" x14ac:dyDescent="0.2">
      <c r="A154" s="337"/>
      <c r="B154" s="338"/>
      <c r="C154" s="338"/>
      <c r="D154" s="338"/>
      <c r="E154" s="338"/>
      <c r="F154" s="338"/>
      <c r="G154" s="338"/>
      <c r="H154" s="338"/>
      <c r="I154" s="338"/>
      <c r="J154" s="338"/>
      <c r="K154" s="338"/>
      <c r="L154" s="338"/>
      <c r="M154" s="338"/>
      <c r="N154" s="338"/>
      <c r="O154" s="338"/>
      <c r="P154" s="338"/>
      <c r="Q154" s="338"/>
      <c r="R154" s="338"/>
      <c r="S154" s="338"/>
      <c r="T154" s="338"/>
      <c r="U154" s="338"/>
      <c r="V154" s="338"/>
      <c r="W154" s="339"/>
      <c r="X154" s="273" t="s">
        <v>43</v>
      </c>
      <c r="Y154" s="274"/>
      <c r="Z154" s="274"/>
      <c r="AA154" s="46" t="s">
        <v>28</v>
      </c>
      <c r="AB154" s="288">
        <v>1</v>
      </c>
      <c r="AC154" s="288"/>
      <c r="AD154" s="288"/>
      <c r="AE154" s="288"/>
      <c r="AF154" s="282" t="s">
        <v>44</v>
      </c>
      <c r="AG154" s="274"/>
      <c r="AH154" s="274"/>
      <c r="AI154" s="274"/>
      <c r="AJ154" s="274"/>
      <c r="AK154" s="46" t="s">
        <v>28</v>
      </c>
      <c r="AL154" s="257">
        <v>9.4</v>
      </c>
      <c r="AM154" s="258"/>
      <c r="AN154" s="258"/>
      <c r="AO154" s="258"/>
      <c r="AP154" s="258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66"/>
      <c r="BA154" s="219"/>
      <c r="BB154" s="220"/>
      <c r="BC154" s="220"/>
      <c r="BD154" s="220"/>
      <c r="BE154" s="220"/>
      <c r="BF154" s="221"/>
      <c r="BG154" s="221"/>
      <c r="BH154" s="222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48"/>
    </row>
    <row r="155" spans="1:106" s="117" customFormat="1" ht="12" customHeight="1" x14ac:dyDescent="0.2">
      <c r="A155" s="337"/>
      <c r="B155" s="338"/>
      <c r="C155" s="338"/>
      <c r="D155" s="338"/>
      <c r="E155" s="338"/>
      <c r="F155" s="338"/>
      <c r="G155" s="338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  <c r="R155" s="338"/>
      <c r="S155" s="338"/>
      <c r="T155" s="338"/>
      <c r="U155" s="338"/>
      <c r="V155" s="338"/>
      <c r="W155" s="339"/>
      <c r="X155" s="259" t="s">
        <v>22</v>
      </c>
      <c r="Y155" s="260"/>
      <c r="Z155" s="260"/>
      <c r="AA155" s="123" t="s">
        <v>28</v>
      </c>
      <c r="AB155" s="217" t="str">
        <f>CONCATENATE(AL153," + [ (",AL154," - ", AL153,") / (",AB154," - ", AB153,") ] x  (",D156," - ",AB153,") = ")</f>
        <v xml:space="preserve">9 + [ (9,4 - 9) / (1 - 0,5) ] x  (0,8 - 0,5) = </v>
      </c>
      <c r="AC155" s="217"/>
      <c r="AD155" s="217"/>
      <c r="AE155" s="217"/>
      <c r="AF155" s="217"/>
      <c r="AG155" s="217"/>
      <c r="AH155" s="217"/>
      <c r="AI155" s="217"/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  <c r="AU155" s="217"/>
      <c r="AV155" s="217"/>
      <c r="AW155" s="217"/>
      <c r="AX155" s="217"/>
      <c r="AY155" s="217"/>
      <c r="AZ155" s="218"/>
      <c r="BA155" s="219">
        <f>ROUND(AL153 + ((AL154-AL153) / (AB154-AB153)) * (D156-AB153),2)</f>
        <v>9.24</v>
      </c>
      <c r="BB155" s="220"/>
      <c r="BC155" s="220"/>
      <c r="BD155" s="220"/>
      <c r="BE155" s="220"/>
      <c r="BF155" s="221" t="s">
        <v>182</v>
      </c>
      <c r="BG155" s="221"/>
      <c r="BH155" s="222"/>
      <c r="BI155" s="116"/>
      <c r="BJ155" s="175" t="s">
        <v>190</v>
      </c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48"/>
    </row>
    <row r="156" spans="1:106" s="117" customFormat="1" ht="12" customHeight="1" x14ac:dyDescent="0.25">
      <c r="A156" s="223" t="s">
        <v>189</v>
      </c>
      <c r="B156" s="224"/>
      <c r="C156" s="142" t="s">
        <v>28</v>
      </c>
      <c r="D156" s="350">
        <v>0.8</v>
      </c>
      <c r="E156" s="350"/>
      <c r="F156" s="350"/>
      <c r="G156" s="350"/>
      <c r="H156" s="350"/>
      <c r="I156" s="149"/>
      <c r="J156" s="149"/>
      <c r="K156" s="149"/>
      <c r="L156" s="149"/>
      <c r="M156" s="149"/>
      <c r="N156" s="149"/>
      <c r="O156" s="149"/>
      <c r="P156" s="149"/>
      <c r="Q156" s="149"/>
      <c r="R156" s="224"/>
      <c r="S156" s="224"/>
      <c r="T156" s="142"/>
      <c r="U156" s="227"/>
      <c r="V156" s="226"/>
      <c r="W156" s="228"/>
      <c r="X156" s="229" t="s">
        <v>181</v>
      </c>
      <c r="Y156" s="230"/>
      <c r="Z156" s="230"/>
      <c r="AA156" s="126" t="s">
        <v>28</v>
      </c>
      <c r="AB156" s="231" t="str">
        <f>CONCATENATE(BA155," x ",$AO$17," x ", AP152," x [1 + 0,5 x (",AW152," - 1)]  = ")</f>
        <v xml:space="preserve">9,24 x 307,7 x 1,101 x [1 + 0,5 x (1,0076 - 1)]  = </v>
      </c>
      <c r="AC156" s="231"/>
      <c r="AD156" s="231"/>
      <c r="AE156" s="231"/>
      <c r="AF156" s="231"/>
      <c r="AG156" s="231"/>
      <c r="AH156" s="231"/>
      <c r="AI156" s="231"/>
      <c r="AJ156" s="231"/>
      <c r="AK156" s="231"/>
      <c r="AL156" s="231"/>
      <c r="AM156" s="231"/>
      <c r="AN156" s="231"/>
      <c r="AO156" s="231"/>
      <c r="AP156" s="231"/>
      <c r="AQ156" s="231"/>
      <c r="AR156" s="231"/>
      <c r="AS156" s="231"/>
      <c r="AT156" s="231"/>
      <c r="AU156" s="231"/>
      <c r="AV156" s="231"/>
      <c r="AW156" s="231"/>
      <c r="AX156" s="231"/>
      <c r="AY156" s="231"/>
      <c r="AZ156" s="232"/>
      <c r="BA156" s="233">
        <f>ROUND(BA155*$AO$17*AP152*(1+0.5*(AW152-1)),2)</f>
        <v>3142.2</v>
      </c>
      <c r="BB156" s="234"/>
      <c r="BC156" s="234"/>
      <c r="BD156" s="234"/>
      <c r="BE156" s="234"/>
      <c r="BF156" s="235" t="s">
        <v>23</v>
      </c>
      <c r="BG156" s="235"/>
      <c r="BH156" s="23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48"/>
    </row>
    <row r="157" spans="1:106" s="119" customFormat="1" ht="12" customHeight="1" x14ac:dyDescent="0.2">
      <c r="A157" s="307" t="str">
        <f>график!A24</f>
        <v>5.7</v>
      </c>
      <c r="B157" s="308"/>
      <c r="C157" s="309" t="str">
        <f>график!B24</f>
        <v>организация передачи подрядчику обустроенной строительной площадки после её инженерного обустройства</v>
      </c>
      <c r="D157" s="309"/>
      <c r="E157" s="309"/>
      <c r="F157" s="309"/>
      <c r="G157" s="309"/>
      <c r="H157" s="309"/>
      <c r="I157" s="309"/>
      <c r="J157" s="309"/>
      <c r="K157" s="309"/>
      <c r="L157" s="309"/>
      <c r="M157" s="309"/>
      <c r="N157" s="309"/>
      <c r="O157" s="309"/>
      <c r="P157" s="309"/>
      <c r="Q157" s="309"/>
      <c r="R157" s="309"/>
      <c r="S157" s="309"/>
      <c r="T157" s="309"/>
      <c r="U157" s="309"/>
      <c r="V157" s="309"/>
      <c r="W157" s="309"/>
      <c r="X157" s="309"/>
      <c r="Y157" s="309"/>
      <c r="Z157" s="309"/>
      <c r="AA157" s="309"/>
      <c r="AB157" s="309"/>
      <c r="AC157" s="309"/>
      <c r="AD157" s="309"/>
      <c r="AE157" s="309"/>
      <c r="AF157" s="309"/>
      <c r="AG157" s="309"/>
      <c r="AH157" s="309"/>
      <c r="AI157" s="309"/>
      <c r="AJ157" s="309"/>
      <c r="AK157" s="309"/>
      <c r="AL157" s="309"/>
      <c r="AM157" s="309"/>
      <c r="AN157" s="309"/>
      <c r="AO157" s="309"/>
      <c r="AP157" s="309"/>
      <c r="AQ157" s="309"/>
      <c r="AR157" s="309"/>
      <c r="AS157" s="309"/>
      <c r="AT157" s="309"/>
      <c r="AU157" s="309"/>
      <c r="AV157" s="309"/>
      <c r="AW157" s="309"/>
      <c r="AX157" s="309"/>
      <c r="AY157" s="309"/>
      <c r="AZ157" s="309"/>
      <c r="BA157" s="310" t="s">
        <v>264</v>
      </c>
      <c r="BB157" s="310"/>
      <c r="BC157" s="310"/>
      <c r="BD157" s="310"/>
      <c r="BE157" s="310"/>
      <c r="BF157" s="310"/>
      <c r="BG157" s="310"/>
      <c r="BH157" s="311"/>
      <c r="BI157" s="146"/>
      <c r="BJ157" s="146"/>
      <c r="BK157" s="146"/>
      <c r="BL157" s="146"/>
      <c r="BM157" s="146"/>
      <c r="BN157" s="146"/>
      <c r="BO157" s="146"/>
      <c r="BP157" s="146"/>
      <c r="BQ157" s="146"/>
      <c r="BR157" s="146"/>
      <c r="BS157" s="146"/>
      <c r="BT157" s="146"/>
      <c r="BU157" s="146"/>
      <c r="BV157" s="146"/>
      <c r="BW157" s="146"/>
      <c r="BX157" s="146"/>
      <c r="BY157" s="146"/>
      <c r="BZ157" s="146"/>
      <c r="CA157" s="146"/>
      <c r="CB157" s="146"/>
      <c r="CC157" s="146"/>
      <c r="CD157" s="146"/>
      <c r="CE157" s="146"/>
      <c r="CF157" s="146"/>
      <c r="CG157" s="146"/>
      <c r="CH157" s="146"/>
      <c r="CI157" s="146"/>
      <c r="CJ157" s="146"/>
      <c r="CK157" s="146"/>
      <c r="CL157" s="146"/>
      <c r="CM157" s="146"/>
      <c r="CN157" s="146"/>
      <c r="CO157" s="146"/>
      <c r="CP157" s="146"/>
      <c r="CQ157" s="146"/>
      <c r="CR157" s="146"/>
      <c r="CS157" s="146"/>
      <c r="CT157" s="146"/>
      <c r="CU157" s="146"/>
      <c r="CV157" s="146"/>
      <c r="CW157" s="146"/>
      <c r="CX157" s="146"/>
      <c r="CY157" s="146"/>
      <c r="CZ157" s="146"/>
      <c r="DA157" s="146"/>
      <c r="DB157" s="147"/>
    </row>
    <row r="158" spans="1:106" s="117" customFormat="1" ht="12" customHeight="1" x14ac:dyDescent="0.25">
      <c r="A158" s="237" t="s">
        <v>225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38"/>
      <c r="O158" s="238"/>
      <c r="P158" s="238"/>
      <c r="Q158" s="238"/>
      <c r="R158" s="238"/>
      <c r="S158" s="238"/>
      <c r="T158" s="238"/>
      <c r="U158" s="238"/>
      <c r="V158" s="238"/>
      <c r="W158" s="239"/>
      <c r="X158" s="275" t="s">
        <v>45</v>
      </c>
      <c r="Y158" s="276"/>
      <c r="Z158" s="276"/>
      <c r="AA158" s="276"/>
      <c r="AB158" s="277" t="str">
        <f>график!C24</f>
        <v>авг 2024</v>
      </c>
      <c r="AC158" s="278"/>
      <c r="AD158" s="278"/>
      <c r="AE158" s="278"/>
      <c r="AF158" s="278"/>
      <c r="AG158" s="122" t="s">
        <v>1</v>
      </c>
      <c r="AH158" s="279" t="str">
        <f>график!E24</f>
        <v>сен 2024</v>
      </c>
      <c r="AI158" s="280"/>
      <c r="AJ158" s="280"/>
      <c r="AK158" s="280"/>
      <c r="AL158" s="280"/>
      <c r="AM158" s="211" t="s">
        <v>177</v>
      </c>
      <c r="AN158" s="211"/>
      <c r="AO158" s="120" t="s">
        <v>28</v>
      </c>
      <c r="AP158" s="281">
        <f>график!F24</f>
        <v>1.1177999999999999</v>
      </c>
      <c r="AQ158" s="281"/>
      <c r="AR158" s="281"/>
      <c r="AS158" s="281"/>
      <c r="AT158" s="211" t="s">
        <v>178</v>
      </c>
      <c r="AU158" s="211"/>
      <c r="AV158" s="120" t="s">
        <v>28</v>
      </c>
      <c r="AW158" s="212">
        <f>график!G24</f>
        <v>1.0076000000000001</v>
      </c>
      <c r="AX158" s="212"/>
      <c r="AY158" s="212"/>
      <c r="AZ158" s="213"/>
      <c r="BA158" s="320"/>
      <c r="BB158" s="321"/>
      <c r="BC158" s="321"/>
      <c r="BD158" s="321"/>
      <c r="BE158" s="321"/>
      <c r="BF158" s="321"/>
      <c r="BG158" s="321"/>
      <c r="BH158" s="322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48"/>
    </row>
    <row r="159" spans="1:106" s="117" customFormat="1" ht="12" customHeight="1" x14ac:dyDescent="0.2">
      <c r="A159" s="337" t="s">
        <v>222</v>
      </c>
      <c r="B159" s="338"/>
      <c r="C159" s="338"/>
      <c r="D159" s="338"/>
      <c r="E159" s="338"/>
      <c r="F159" s="338"/>
      <c r="G159" s="338"/>
      <c r="H159" s="338"/>
      <c r="I159" s="338"/>
      <c r="J159" s="338"/>
      <c r="K159" s="338"/>
      <c r="L159" s="338"/>
      <c r="M159" s="338"/>
      <c r="N159" s="338"/>
      <c r="O159" s="338"/>
      <c r="P159" s="338"/>
      <c r="Q159" s="338"/>
      <c r="R159" s="338"/>
      <c r="S159" s="338"/>
      <c r="T159" s="338"/>
      <c r="U159" s="338"/>
      <c r="V159" s="338"/>
      <c r="W159" s="339"/>
      <c r="X159" s="273" t="s">
        <v>39</v>
      </c>
      <c r="Y159" s="274"/>
      <c r="Z159" s="274"/>
      <c r="AA159" s="46" t="s">
        <v>28</v>
      </c>
      <c r="AB159" s="288">
        <v>0.5</v>
      </c>
      <c r="AC159" s="288"/>
      <c r="AD159" s="288"/>
      <c r="AE159" s="288"/>
      <c r="AF159" s="282" t="s">
        <v>40</v>
      </c>
      <c r="AG159" s="274"/>
      <c r="AH159" s="274"/>
      <c r="AI159" s="274"/>
      <c r="AJ159" s="274"/>
      <c r="AK159" s="46" t="s">
        <v>28</v>
      </c>
      <c r="AL159" s="257">
        <v>1.5</v>
      </c>
      <c r="AM159" s="258"/>
      <c r="AN159" s="258"/>
      <c r="AO159" s="258"/>
      <c r="AP159" s="258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66"/>
      <c r="BA159" s="219"/>
      <c r="BB159" s="220"/>
      <c r="BC159" s="220"/>
      <c r="BD159" s="220"/>
      <c r="BE159" s="220"/>
      <c r="BF159" s="221"/>
      <c r="BG159" s="221"/>
      <c r="BH159" s="222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48"/>
    </row>
    <row r="160" spans="1:106" s="117" customFormat="1" ht="12" customHeight="1" x14ac:dyDescent="0.2">
      <c r="A160" s="337"/>
      <c r="B160" s="338"/>
      <c r="C160" s="338"/>
      <c r="D160" s="338"/>
      <c r="E160" s="338"/>
      <c r="F160" s="338"/>
      <c r="G160" s="338"/>
      <c r="H160" s="338"/>
      <c r="I160" s="338"/>
      <c r="J160" s="338"/>
      <c r="K160" s="338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9"/>
      <c r="X160" s="273" t="s">
        <v>43</v>
      </c>
      <c r="Y160" s="274"/>
      <c r="Z160" s="274"/>
      <c r="AA160" s="46" t="s">
        <v>28</v>
      </c>
      <c r="AB160" s="288">
        <v>1</v>
      </c>
      <c r="AC160" s="288"/>
      <c r="AD160" s="288"/>
      <c r="AE160" s="288"/>
      <c r="AF160" s="282" t="s">
        <v>44</v>
      </c>
      <c r="AG160" s="274"/>
      <c r="AH160" s="274"/>
      <c r="AI160" s="274"/>
      <c r="AJ160" s="274"/>
      <c r="AK160" s="46" t="s">
        <v>28</v>
      </c>
      <c r="AL160" s="257">
        <v>1.6</v>
      </c>
      <c r="AM160" s="258"/>
      <c r="AN160" s="258"/>
      <c r="AO160" s="258"/>
      <c r="AP160" s="258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66"/>
      <c r="BA160" s="219"/>
      <c r="BB160" s="220"/>
      <c r="BC160" s="220"/>
      <c r="BD160" s="220"/>
      <c r="BE160" s="220"/>
      <c r="BF160" s="221"/>
      <c r="BG160" s="221"/>
      <c r="BH160" s="222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48"/>
    </row>
    <row r="161" spans="1:106" s="117" customFormat="1" ht="12" customHeight="1" x14ac:dyDescent="0.2">
      <c r="A161" s="337"/>
      <c r="B161" s="338"/>
      <c r="C161" s="338"/>
      <c r="D161" s="338"/>
      <c r="E161" s="338"/>
      <c r="F161" s="338"/>
      <c r="G161" s="338"/>
      <c r="H161" s="338"/>
      <c r="I161" s="338"/>
      <c r="J161" s="338"/>
      <c r="K161" s="338"/>
      <c r="L161" s="338"/>
      <c r="M161" s="338"/>
      <c r="N161" s="338"/>
      <c r="O161" s="338"/>
      <c r="P161" s="338"/>
      <c r="Q161" s="338"/>
      <c r="R161" s="338"/>
      <c r="S161" s="338"/>
      <c r="T161" s="338"/>
      <c r="U161" s="338"/>
      <c r="V161" s="338"/>
      <c r="W161" s="339"/>
      <c r="X161" s="259" t="s">
        <v>22</v>
      </c>
      <c r="Y161" s="260"/>
      <c r="Z161" s="260"/>
      <c r="AA161" s="123" t="s">
        <v>28</v>
      </c>
      <c r="AB161" s="217" t="str">
        <f>CONCATENATE(AL159," + [ (",AL160," - ", AL159,") / (",AB160," - ", AB159,") ] x  (",D162," - ",AB159,") = ")</f>
        <v xml:space="preserve">1,5 + [ (1,6 - 1,5) / (1 - 0,5) ] x  (0,8 - 0,5) = </v>
      </c>
      <c r="AC161" s="217"/>
      <c r="AD161" s="217"/>
      <c r="AE161" s="21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217"/>
      <c r="AY161" s="217"/>
      <c r="AZ161" s="218"/>
      <c r="BA161" s="219">
        <f>ROUND(AL159 + ((AL160-AL159) / (AB160-AB159)) * (D162-AB159),2)</f>
        <v>1.56</v>
      </c>
      <c r="BB161" s="220"/>
      <c r="BC161" s="220"/>
      <c r="BD161" s="220"/>
      <c r="BE161" s="220"/>
      <c r="BF161" s="221" t="s">
        <v>182</v>
      </c>
      <c r="BG161" s="221"/>
      <c r="BH161" s="222"/>
      <c r="BI161" s="116"/>
      <c r="BJ161" s="175" t="s">
        <v>190</v>
      </c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48"/>
    </row>
    <row r="162" spans="1:106" s="117" customFormat="1" ht="12" customHeight="1" x14ac:dyDescent="0.25">
      <c r="A162" s="223" t="s">
        <v>189</v>
      </c>
      <c r="B162" s="224"/>
      <c r="C162" s="142" t="s">
        <v>28</v>
      </c>
      <c r="D162" s="350">
        <v>0.8</v>
      </c>
      <c r="E162" s="350"/>
      <c r="F162" s="350"/>
      <c r="G162" s="350"/>
      <c r="H162" s="350"/>
      <c r="I162" s="149"/>
      <c r="J162" s="149"/>
      <c r="K162" s="149"/>
      <c r="L162" s="149"/>
      <c r="M162" s="149"/>
      <c r="N162" s="149"/>
      <c r="O162" s="149"/>
      <c r="P162" s="149"/>
      <c r="Q162" s="149"/>
      <c r="R162" s="224"/>
      <c r="S162" s="224"/>
      <c r="T162" s="142"/>
      <c r="U162" s="227"/>
      <c r="V162" s="226"/>
      <c r="W162" s="228"/>
      <c r="X162" s="229" t="s">
        <v>181</v>
      </c>
      <c r="Y162" s="230"/>
      <c r="Z162" s="230"/>
      <c r="AA162" s="126" t="s">
        <v>28</v>
      </c>
      <c r="AB162" s="231" t="str">
        <f>CONCATENATE(BA161," x ",$AO$17," x ", AP158," x [1 + 0,5 x (",AW158," - 1)]  = ")</f>
        <v xml:space="preserve">1,56 x 307,7 x 1,1178 x [1 + 0,5 x (1,0076 - 1)]  = </v>
      </c>
      <c r="AC162" s="231"/>
      <c r="AD162" s="231"/>
      <c r="AE162" s="231"/>
      <c r="AF162" s="231"/>
      <c r="AG162" s="231"/>
      <c r="AH162" s="231"/>
      <c r="AI162" s="231"/>
      <c r="AJ162" s="231"/>
      <c r="AK162" s="231"/>
      <c r="AL162" s="231"/>
      <c r="AM162" s="231"/>
      <c r="AN162" s="231"/>
      <c r="AO162" s="231"/>
      <c r="AP162" s="231"/>
      <c r="AQ162" s="231"/>
      <c r="AR162" s="231"/>
      <c r="AS162" s="231"/>
      <c r="AT162" s="231"/>
      <c r="AU162" s="231"/>
      <c r="AV162" s="231"/>
      <c r="AW162" s="231"/>
      <c r="AX162" s="231"/>
      <c r="AY162" s="231"/>
      <c r="AZ162" s="232"/>
      <c r="BA162" s="233">
        <f>ROUND(BA161*$AO$17*AP158*(1+0.5*(AW158-1)),2)</f>
        <v>538.6</v>
      </c>
      <c r="BB162" s="234"/>
      <c r="BC162" s="234"/>
      <c r="BD162" s="234"/>
      <c r="BE162" s="234"/>
      <c r="BF162" s="235" t="s">
        <v>23</v>
      </c>
      <c r="BG162" s="235"/>
      <c r="BH162" s="23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48"/>
    </row>
    <row r="163" spans="1:106" ht="12" customHeight="1" x14ac:dyDescent="0.2">
      <c r="A163" s="167" t="s">
        <v>226</v>
      </c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9"/>
      <c r="AL163" s="169"/>
      <c r="AM163" s="169"/>
      <c r="AN163" s="169"/>
      <c r="AO163" s="169"/>
      <c r="AP163" s="169"/>
      <c r="AQ163" s="170"/>
      <c r="AR163" s="171"/>
      <c r="AS163" s="170"/>
      <c r="AT163" s="170"/>
      <c r="AU163" s="170"/>
      <c r="AV163" s="170"/>
      <c r="AW163" s="333" t="s">
        <v>22</v>
      </c>
      <c r="AX163" s="333"/>
      <c r="AY163" s="333"/>
      <c r="AZ163" s="172" t="s">
        <v>28</v>
      </c>
      <c r="BA163" s="241">
        <f>BA161+BA155+BA149+BA143+BA134+BA119+BA124+BA130</f>
        <v>49.74</v>
      </c>
      <c r="BB163" s="241"/>
      <c r="BC163" s="241"/>
      <c r="BD163" s="241"/>
      <c r="BE163" s="241"/>
      <c r="BF163" s="173" t="s">
        <v>182</v>
      </c>
      <c r="BG163" s="173"/>
      <c r="BH163" s="174"/>
    </row>
    <row r="164" spans="1:106" s="117" customFormat="1" ht="12" customHeight="1" x14ac:dyDescent="0.2">
      <c r="A164" s="262" t="s">
        <v>179</v>
      </c>
      <c r="B164" s="263"/>
      <c r="C164" s="263"/>
      <c r="D164" s="263"/>
      <c r="E164" s="263"/>
      <c r="F164" s="263"/>
      <c r="G164" s="263"/>
      <c r="H164" s="263"/>
      <c r="I164" s="263"/>
      <c r="J164" s="263"/>
      <c r="K164" s="263"/>
      <c r="L164" s="263"/>
      <c r="M164" s="263"/>
      <c r="N164" s="263"/>
      <c r="O164" s="263"/>
      <c r="P164" s="263"/>
      <c r="Q164" s="263"/>
      <c r="R164" s="263"/>
      <c r="S164" s="263"/>
      <c r="T164" s="263"/>
      <c r="U164" s="263"/>
      <c r="V164" s="263"/>
      <c r="W164" s="263"/>
      <c r="X164" s="140"/>
      <c r="Y164" s="140"/>
      <c r="Z164" s="140"/>
      <c r="AA164" s="140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4"/>
      <c r="AU164" s="144"/>
      <c r="AV164" s="145"/>
      <c r="AW164" s="264" t="s">
        <v>186</v>
      </c>
      <c r="AX164" s="264"/>
      <c r="AY164" s="264"/>
      <c r="AZ164" s="141" t="s">
        <v>28</v>
      </c>
      <c r="BA164" s="265">
        <f>BA162+BA156+BA150+BA144+BA135+BA120+BA125+BA131</f>
        <v>16882.689999999999</v>
      </c>
      <c r="BB164" s="265"/>
      <c r="BC164" s="265"/>
      <c r="BD164" s="265"/>
      <c r="BE164" s="265"/>
      <c r="BF164" s="266" t="s">
        <v>23</v>
      </c>
      <c r="BG164" s="266"/>
      <c r="BH164" s="267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48"/>
    </row>
    <row r="165" spans="1:106" s="1" customFormat="1" ht="13.5" customHeight="1" x14ac:dyDescent="0.2">
      <c r="A165" s="328" t="str">
        <f>график!A25</f>
        <v>6</v>
      </c>
      <c r="B165" s="329"/>
      <c r="C165" s="330" t="str">
        <f>график!B25</f>
        <v>УСЛУГИ ПО УПРАВЛЕНИЮ ЗАКУПКАМИ</v>
      </c>
      <c r="D165" s="331"/>
      <c r="E165" s="331"/>
      <c r="F165" s="331"/>
      <c r="G165" s="331"/>
      <c r="H165" s="331"/>
      <c r="I165" s="331"/>
      <c r="J165" s="331"/>
      <c r="K165" s="331"/>
      <c r="L165" s="331"/>
      <c r="M165" s="331"/>
      <c r="N165" s="331"/>
      <c r="O165" s="331"/>
      <c r="P165" s="331"/>
      <c r="Q165" s="331"/>
      <c r="R165" s="331"/>
      <c r="S165" s="331"/>
      <c r="T165" s="331"/>
      <c r="U165" s="331"/>
      <c r="V165" s="331"/>
      <c r="W165" s="331"/>
      <c r="X165" s="331"/>
      <c r="Y165" s="331"/>
      <c r="Z165" s="331"/>
      <c r="AA165" s="331"/>
      <c r="AB165" s="331"/>
      <c r="AC165" s="331"/>
      <c r="AD165" s="331"/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  <c r="AX165" s="331"/>
      <c r="AY165" s="331"/>
      <c r="AZ165" s="331"/>
      <c r="BA165" s="331"/>
      <c r="BB165" s="331"/>
      <c r="BC165" s="331"/>
      <c r="BD165" s="331"/>
      <c r="BE165" s="331"/>
      <c r="BF165" s="331"/>
      <c r="BG165" s="331"/>
      <c r="BH165" s="332"/>
      <c r="BI165" s="116"/>
    </row>
    <row r="166" spans="1:106" s="119" customFormat="1" ht="12" customHeight="1" x14ac:dyDescent="0.2">
      <c r="A166" s="307" t="str">
        <f>график!A26</f>
        <v>6.1</v>
      </c>
      <c r="B166" s="308"/>
      <c r="C166" s="309" t="str">
        <f>CONCATENATE(график!B26," (справочно)")</f>
        <v>организация выбора разработчика предпроектной документации (справочно)</v>
      </c>
      <c r="D166" s="309"/>
      <c r="E166" s="309"/>
      <c r="F166" s="309"/>
      <c r="G166" s="309"/>
      <c r="H166" s="309"/>
      <c r="I166" s="309"/>
      <c r="J166" s="309"/>
      <c r="K166" s="309"/>
      <c r="L166" s="309"/>
      <c r="M166" s="309"/>
      <c r="N166" s="309"/>
      <c r="O166" s="309"/>
      <c r="P166" s="309"/>
      <c r="Q166" s="309"/>
      <c r="R166" s="309"/>
      <c r="S166" s="309"/>
      <c r="T166" s="309"/>
      <c r="U166" s="309"/>
      <c r="V166" s="309"/>
      <c r="W166" s="309"/>
      <c r="X166" s="309"/>
      <c r="Y166" s="309"/>
      <c r="Z166" s="309"/>
      <c r="AA166" s="309"/>
      <c r="AB166" s="309"/>
      <c r="AC166" s="309"/>
      <c r="AD166" s="309"/>
      <c r="AE166" s="309"/>
      <c r="AF166" s="309"/>
      <c r="AG166" s="309"/>
      <c r="AH166" s="309"/>
      <c r="AI166" s="309"/>
      <c r="AJ166" s="309"/>
      <c r="AK166" s="309"/>
      <c r="AL166" s="309"/>
      <c r="AM166" s="309"/>
      <c r="AN166" s="309"/>
      <c r="AO166" s="309"/>
      <c r="AP166" s="309"/>
      <c r="AQ166" s="309"/>
      <c r="AR166" s="309"/>
      <c r="AS166" s="309"/>
      <c r="AT166" s="309"/>
      <c r="AU166" s="309"/>
      <c r="AV166" s="309"/>
      <c r="AW166" s="309"/>
      <c r="AX166" s="309"/>
      <c r="AY166" s="309"/>
      <c r="AZ166" s="309"/>
      <c r="BA166" s="348" t="s">
        <v>281</v>
      </c>
      <c r="BB166" s="348"/>
      <c r="BC166" s="348"/>
      <c r="BD166" s="348"/>
      <c r="BE166" s="348"/>
      <c r="BF166" s="348"/>
      <c r="BG166" s="348"/>
      <c r="BH166" s="349"/>
      <c r="BI166" s="146"/>
      <c r="BJ166" s="146"/>
      <c r="BK166" s="146"/>
      <c r="BL166" s="146"/>
      <c r="BM166" s="146"/>
      <c r="BN166" s="146"/>
      <c r="BO166" s="146"/>
      <c r="BP166" s="146"/>
      <c r="BQ166" s="146"/>
      <c r="BR166" s="146"/>
      <c r="BS166" s="146"/>
      <c r="BT166" s="146"/>
      <c r="BU166" s="146"/>
      <c r="BV166" s="146"/>
      <c r="BW166" s="146"/>
      <c r="BX166" s="146"/>
      <c r="BY166" s="146"/>
      <c r="BZ166" s="146"/>
      <c r="CA166" s="146"/>
      <c r="CB166" s="146"/>
      <c r="CC166" s="146"/>
      <c r="CD166" s="146"/>
      <c r="CE166" s="146"/>
      <c r="CF166" s="146"/>
      <c r="CG166" s="146"/>
      <c r="CH166" s="146"/>
      <c r="CI166" s="146"/>
      <c r="CJ166" s="146"/>
      <c r="CK166" s="146"/>
      <c r="CL166" s="146"/>
      <c r="CM166" s="146"/>
      <c r="CN166" s="146"/>
      <c r="CO166" s="146"/>
      <c r="CP166" s="146"/>
      <c r="CQ166" s="146"/>
      <c r="CR166" s="146"/>
      <c r="CS166" s="146"/>
      <c r="CT166" s="146"/>
      <c r="CU166" s="146"/>
      <c r="CV166" s="146"/>
      <c r="CW166" s="146"/>
      <c r="CX166" s="146"/>
      <c r="CY166" s="146"/>
      <c r="CZ166" s="146"/>
      <c r="DA166" s="146"/>
      <c r="DB166" s="147"/>
    </row>
    <row r="167" spans="1:106" s="117" customFormat="1" ht="12" customHeight="1" x14ac:dyDescent="0.25">
      <c r="A167" s="237" t="s">
        <v>228</v>
      </c>
      <c r="B167" s="238"/>
      <c r="C167" s="238"/>
      <c r="D167" s="238"/>
      <c r="E167" s="238"/>
      <c r="F167" s="238"/>
      <c r="G167" s="238"/>
      <c r="H167" s="238"/>
      <c r="I167" s="238"/>
      <c r="J167" s="238"/>
      <c r="K167" s="238"/>
      <c r="L167" s="238"/>
      <c r="M167" s="238"/>
      <c r="N167" s="238"/>
      <c r="O167" s="238"/>
      <c r="P167" s="238"/>
      <c r="Q167" s="238"/>
      <c r="R167" s="238"/>
      <c r="S167" s="238"/>
      <c r="T167" s="238"/>
      <c r="U167" s="238"/>
      <c r="V167" s="238"/>
      <c r="W167" s="239"/>
      <c r="X167" s="275" t="s">
        <v>45</v>
      </c>
      <c r="Y167" s="276"/>
      <c r="Z167" s="276"/>
      <c r="AA167" s="276"/>
      <c r="AB167" s="277" t="str">
        <f>график!C26</f>
        <v>сен 2023</v>
      </c>
      <c r="AC167" s="278"/>
      <c r="AD167" s="278"/>
      <c r="AE167" s="278"/>
      <c r="AF167" s="278"/>
      <c r="AG167" s="122" t="s">
        <v>1</v>
      </c>
      <c r="AH167" s="279" t="str">
        <f>график!E26</f>
        <v>сен 2023</v>
      </c>
      <c r="AI167" s="280"/>
      <c r="AJ167" s="280"/>
      <c r="AK167" s="280"/>
      <c r="AL167" s="280"/>
      <c r="AM167" s="211" t="s">
        <v>177</v>
      </c>
      <c r="AN167" s="211"/>
      <c r="AO167" s="120" t="s">
        <v>28</v>
      </c>
      <c r="AP167" s="281">
        <f>график!F26</f>
        <v>1.0170999999999999</v>
      </c>
      <c r="AQ167" s="281"/>
      <c r="AR167" s="281"/>
      <c r="AS167" s="281"/>
      <c r="AT167" s="211" t="s">
        <v>178</v>
      </c>
      <c r="AU167" s="211"/>
      <c r="AV167" s="120" t="s">
        <v>28</v>
      </c>
      <c r="AW167" s="212">
        <f>график!G26</f>
        <v>1.0085</v>
      </c>
      <c r="AX167" s="212"/>
      <c r="AY167" s="212"/>
      <c r="AZ167" s="213"/>
      <c r="BA167" s="214"/>
      <c r="BB167" s="215"/>
      <c r="BC167" s="215"/>
      <c r="BD167" s="215"/>
      <c r="BE167" s="215"/>
      <c r="BF167" s="215"/>
      <c r="BG167" s="215"/>
      <c r="BH167" s="2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48"/>
    </row>
    <row r="168" spans="1:106" s="117" customFormat="1" ht="12" customHeight="1" x14ac:dyDescent="0.2">
      <c r="A168" s="337" t="s">
        <v>227</v>
      </c>
      <c r="B168" s="338"/>
      <c r="C168" s="338"/>
      <c r="D168" s="338"/>
      <c r="E168" s="338"/>
      <c r="F168" s="338"/>
      <c r="G168" s="338"/>
      <c r="H168" s="338"/>
      <c r="I168" s="338"/>
      <c r="J168" s="338"/>
      <c r="K168" s="338"/>
      <c r="L168" s="338"/>
      <c r="M168" s="338"/>
      <c r="N168" s="338"/>
      <c r="O168" s="338"/>
      <c r="P168" s="338"/>
      <c r="Q168" s="338"/>
      <c r="R168" s="338"/>
      <c r="S168" s="338"/>
      <c r="T168" s="338"/>
      <c r="U168" s="338"/>
      <c r="V168" s="338"/>
      <c r="W168" s="339"/>
      <c r="X168" s="259" t="s">
        <v>22</v>
      </c>
      <c r="Y168" s="260"/>
      <c r="Z168" s="260"/>
      <c r="AA168" s="123" t="s">
        <v>28</v>
      </c>
      <c r="AB168" s="342">
        <v>9.5</v>
      </c>
      <c r="AC168" s="342"/>
      <c r="AD168" s="342"/>
      <c r="AE168" s="342"/>
      <c r="AF168" s="342"/>
      <c r="AG168" s="342"/>
      <c r="AH168" s="342"/>
      <c r="AI168" s="342"/>
      <c r="AJ168" s="342"/>
      <c r="AK168" s="342"/>
      <c r="AL168" s="342"/>
      <c r="AM168" s="342"/>
      <c r="AN168" s="342"/>
      <c r="AO168" s="342"/>
      <c r="AP168" s="342"/>
      <c r="AQ168" s="342"/>
      <c r="AR168" s="342"/>
      <c r="AS168" s="342"/>
      <c r="AT168" s="288"/>
      <c r="AU168" s="288"/>
      <c r="AV168" s="127"/>
      <c r="AW168" s="217"/>
      <c r="AX168" s="217"/>
      <c r="AY168" s="217"/>
      <c r="AZ168" s="218"/>
      <c r="BA168" s="219">
        <f>AB168</f>
        <v>9.5</v>
      </c>
      <c r="BB168" s="220"/>
      <c r="BC168" s="220"/>
      <c r="BD168" s="220"/>
      <c r="BE168" s="220"/>
      <c r="BF168" s="221" t="s">
        <v>182</v>
      </c>
      <c r="BG168" s="221"/>
      <c r="BH168" s="222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48"/>
    </row>
    <row r="169" spans="1:106" s="117" customFormat="1" ht="12" customHeight="1" x14ac:dyDescent="0.2">
      <c r="A169" s="345"/>
      <c r="B169" s="346"/>
      <c r="C169" s="346"/>
      <c r="D169" s="346"/>
      <c r="E169" s="346"/>
      <c r="F169" s="346"/>
      <c r="G169" s="346"/>
      <c r="H169" s="346"/>
      <c r="I169" s="346"/>
      <c r="J169" s="346"/>
      <c r="K169" s="346"/>
      <c r="L169" s="346"/>
      <c r="M169" s="346"/>
      <c r="N169" s="346"/>
      <c r="O169" s="346"/>
      <c r="P169" s="346"/>
      <c r="Q169" s="346"/>
      <c r="R169" s="346"/>
      <c r="S169" s="346"/>
      <c r="T169" s="346"/>
      <c r="U169" s="346"/>
      <c r="V169" s="346"/>
      <c r="W169" s="347"/>
      <c r="X169" s="229" t="s">
        <v>181</v>
      </c>
      <c r="Y169" s="230"/>
      <c r="Z169" s="230"/>
      <c r="AA169" s="126" t="s">
        <v>28</v>
      </c>
      <c r="AB169" s="231" t="str">
        <f>CONCATENATE(AB168," x ",$AO$17," x ", AP167," x [1 + 0,5 x (",AW167," - 1)] = ")</f>
        <v xml:space="preserve">9,5 x 307,7 x 1,0171 x [1 + 0,5 x (1,0085 - 1)] = </v>
      </c>
      <c r="AC169" s="231"/>
      <c r="AD169" s="231"/>
      <c r="AE169" s="231"/>
      <c r="AF169" s="231"/>
      <c r="AG169" s="231"/>
      <c r="AH169" s="231"/>
      <c r="AI169" s="231"/>
      <c r="AJ169" s="231"/>
      <c r="AK169" s="231"/>
      <c r="AL169" s="231"/>
      <c r="AM169" s="231"/>
      <c r="AN169" s="231"/>
      <c r="AO169" s="231"/>
      <c r="AP169" s="231"/>
      <c r="AQ169" s="231"/>
      <c r="AR169" s="231"/>
      <c r="AS169" s="231"/>
      <c r="AT169" s="231"/>
      <c r="AU169" s="231"/>
      <c r="AV169" s="231"/>
      <c r="AW169" s="231"/>
      <c r="AX169" s="231"/>
      <c r="AY169" s="231"/>
      <c r="AZ169" s="232"/>
      <c r="BA169" s="233">
        <f>ROUND(AB168*$AO$17*AP167*(1+0.5*(AW167-1)),2)</f>
        <v>2985.77</v>
      </c>
      <c r="BB169" s="234"/>
      <c r="BC169" s="234"/>
      <c r="BD169" s="234"/>
      <c r="BE169" s="234"/>
      <c r="BF169" s="235" t="s">
        <v>23</v>
      </c>
      <c r="BG169" s="235"/>
      <c r="BH169" s="23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48"/>
    </row>
    <row r="170" spans="1:106" s="119" customFormat="1" ht="12" customHeight="1" x14ac:dyDescent="0.2">
      <c r="A170" s="307" t="str">
        <f>график!A27</f>
        <v>6.2</v>
      </c>
      <c r="B170" s="308"/>
      <c r="C170" s="309" t="str">
        <f>график!B27</f>
        <v>организация выбора поставщиков технологического оборудования</v>
      </c>
      <c r="D170" s="309"/>
      <c r="E170" s="309"/>
      <c r="F170" s="309"/>
      <c r="G170" s="309"/>
      <c r="H170" s="309"/>
      <c r="I170" s="309"/>
      <c r="J170" s="309"/>
      <c r="K170" s="309"/>
      <c r="L170" s="309"/>
      <c r="M170" s="309"/>
      <c r="N170" s="309"/>
      <c r="O170" s="309"/>
      <c r="P170" s="309"/>
      <c r="Q170" s="309"/>
      <c r="R170" s="309"/>
      <c r="S170" s="309"/>
      <c r="T170" s="309"/>
      <c r="U170" s="309"/>
      <c r="V170" s="309"/>
      <c r="W170" s="309"/>
      <c r="X170" s="309"/>
      <c r="Y170" s="309"/>
      <c r="Z170" s="309"/>
      <c r="AA170" s="309"/>
      <c r="AB170" s="309"/>
      <c r="AC170" s="309"/>
      <c r="AD170" s="309"/>
      <c r="AE170" s="309"/>
      <c r="AF170" s="309"/>
      <c r="AG170" s="309"/>
      <c r="AH170" s="309"/>
      <c r="AI170" s="309"/>
      <c r="AJ170" s="309"/>
      <c r="AK170" s="309"/>
      <c r="AL170" s="309"/>
      <c r="AM170" s="309"/>
      <c r="AN170" s="309"/>
      <c r="AO170" s="309"/>
      <c r="AP170" s="309"/>
      <c r="AQ170" s="309"/>
      <c r="AR170" s="309"/>
      <c r="AS170" s="309"/>
      <c r="AT170" s="309"/>
      <c r="AU170" s="309"/>
      <c r="AV170" s="309"/>
      <c r="AW170" s="309"/>
      <c r="AX170" s="309"/>
      <c r="AY170" s="309"/>
      <c r="AZ170" s="309"/>
      <c r="BA170" s="348" t="s">
        <v>282</v>
      </c>
      <c r="BB170" s="348"/>
      <c r="BC170" s="348"/>
      <c r="BD170" s="348"/>
      <c r="BE170" s="348"/>
      <c r="BF170" s="348"/>
      <c r="BG170" s="348"/>
      <c r="BH170" s="349"/>
      <c r="BI170" s="146"/>
      <c r="BJ170" s="146"/>
      <c r="BK170" s="146"/>
      <c r="BL170" s="146"/>
      <c r="BM170" s="146"/>
      <c r="BN170" s="146"/>
      <c r="BO170" s="146"/>
      <c r="BP170" s="146"/>
      <c r="BQ170" s="146"/>
      <c r="BR170" s="146"/>
      <c r="BS170" s="146"/>
      <c r="BT170" s="146"/>
      <c r="BU170" s="146"/>
      <c r="BV170" s="146"/>
      <c r="BW170" s="146"/>
      <c r="BX170" s="146"/>
      <c r="BY170" s="146"/>
      <c r="BZ170" s="146"/>
      <c r="CA170" s="146"/>
      <c r="CB170" s="146"/>
      <c r="CC170" s="146"/>
      <c r="CD170" s="146"/>
      <c r="CE170" s="146"/>
      <c r="CF170" s="146"/>
      <c r="CG170" s="146"/>
      <c r="CH170" s="146"/>
      <c r="CI170" s="146"/>
      <c r="CJ170" s="146"/>
      <c r="CK170" s="146"/>
      <c r="CL170" s="146"/>
      <c r="CM170" s="146"/>
      <c r="CN170" s="146"/>
      <c r="CO170" s="146"/>
      <c r="CP170" s="146"/>
      <c r="CQ170" s="146"/>
      <c r="CR170" s="146"/>
      <c r="CS170" s="146"/>
      <c r="CT170" s="146"/>
      <c r="CU170" s="146"/>
      <c r="CV170" s="146"/>
      <c r="CW170" s="146"/>
      <c r="CX170" s="146"/>
      <c r="CY170" s="146"/>
      <c r="CZ170" s="146"/>
      <c r="DA170" s="146"/>
      <c r="DB170" s="147"/>
    </row>
    <row r="171" spans="1:106" s="117" customFormat="1" ht="12" customHeight="1" x14ac:dyDescent="0.25">
      <c r="A171" s="237" t="s">
        <v>229</v>
      </c>
      <c r="B171" s="238"/>
      <c r="C171" s="238"/>
      <c r="D171" s="238"/>
      <c r="E171" s="238"/>
      <c r="F171" s="238"/>
      <c r="G171" s="238"/>
      <c r="H171" s="238"/>
      <c r="I171" s="238"/>
      <c r="J171" s="238"/>
      <c r="K171" s="238"/>
      <c r="L171" s="238"/>
      <c r="M171" s="238"/>
      <c r="N171" s="238"/>
      <c r="O171" s="238"/>
      <c r="P171" s="238"/>
      <c r="Q171" s="238"/>
      <c r="R171" s="238"/>
      <c r="S171" s="238"/>
      <c r="T171" s="238"/>
      <c r="U171" s="238"/>
      <c r="V171" s="238"/>
      <c r="W171" s="239"/>
      <c r="X171" s="275" t="s">
        <v>45</v>
      </c>
      <c r="Y171" s="276"/>
      <c r="Z171" s="276"/>
      <c r="AA171" s="276"/>
      <c r="AB171" s="277" t="str">
        <f>график!C27</f>
        <v>май 2024</v>
      </c>
      <c r="AC171" s="278"/>
      <c r="AD171" s="278"/>
      <c r="AE171" s="278"/>
      <c r="AF171" s="278"/>
      <c r="AG171" s="122" t="s">
        <v>1</v>
      </c>
      <c r="AH171" s="279" t="str">
        <f>график!E27</f>
        <v>июн 2024</v>
      </c>
      <c r="AI171" s="280"/>
      <c r="AJ171" s="280"/>
      <c r="AK171" s="280"/>
      <c r="AL171" s="280"/>
      <c r="AM171" s="211" t="s">
        <v>177</v>
      </c>
      <c r="AN171" s="211"/>
      <c r="AO171" s="120" t="s">
        <v>28</v>
      </c>
      <c r="AP171" s="281">
        <f>график!F27</f>
        <v>1.0844</v>
      </c>
      <c r="AQ171" s="281"/>
      <c r="AR171" s="281"/>
      <c r="AS171" s="281"/>
      <c r="AT171" s="211" t="s">
        <v>178</v>
      </c>
      <c r="AU171" s="211"/>
      <c r="AV171" s="120" t="s">
        <v>28</v>
      </c>
      <c r="AW171" s="212">
        <f>график!G27</f>
        <v>1.0076000000000001</v>
      </c>
      <c r="AX171" s="212"/>
      <c r="AY171" s="212"/>
      <c r="AZ171" s="213"/>
      <c r="BA171" s="214"/>
      <c r="BB171" s="215"/>
      <c r="BC171" s="215"/>
      <c r="BD171" s="215"/>
      <c r="BE171" s="215"/>
      <c r="BF171" s="215"/>
      <c r="BG171" s="215"/>
      <c r="BH171" s="2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48"/>
    </row>
    <row r="172" spans="1:106" s="117" customFormat="1" ht="12" customHeight="1" x14ac:dyDescent="0.2">
      <c r="A172" s="337" t="s">
        <v>230</v>
      </c>
      <c r="B172" s="338"/>
      <c r="C172" s="338"/>
      <c r="D172" s="338"/>
      <c r="E172" s="338"/>
      <c r="F172" s="338"/>
      <c r="G172" s="338"/>
      <c r="H172" s="338"/>
      <c r="I172" s="338"/>
      <c r="J172" s="338"/>
      <c r="K172" s="338"/>
      <c r="L172" s="338"/>
      <c r="M172" s="338"/>
      <c r="N172" s="338"/>
      <c r="O172" s="338"/>
      <c r="P172" s="338"/>
      <c r="Q172" s="338"/>
      <c r="R172" s="338"/>
      <c r="S172" s="338"/>
      <c r="T172" s="338"/>
      <c r="U172" s="338"/>
      <c r="V172" s="338"/>
      <c r="W172" s="339"/>
      <c r="X172" s="340" t="s">
        <v>233</v>
      </c>
      <c r="Y172" s="341"/>
      <c r="Z172" s="341"/>
      <c r="AA172" s="341"/>
      <c r="AB172" s="341"/>
      <c r="AC172" s="341"/>
      <c r="AD172" s="341"/>
      <c r="AE172" s="341"/>
      <c r="AF172" s="341"/>
      <c r="AG172" s="341"/>
      <c r="AH172" s="341"/>
      <c r="AI172" s="341"/>
      <c r="AJ172" s="341"/>
      <c r="AK172" s="341"/>
      <c r="AL172" s="341"/>
      <c r="AM172" s="341"/>
      <c r="AN172" s="341"/>
      <c r="AO172" s="127" t="s">
        <v>28</v>
      </c>
      <c r="AP172" s="217">
        <v>2</v>
      </c>
      <c r="AQ172" s="217"/>
      <c r="AR172" s="217"/>
      <c r="AS172" s="217"/>
      <c r="AT172" s="288"/>
      <c r="AU172" s="288"/>
      <c r="AV172" s="127"/>
      <c r="AW172" s="217"/>
      <c r="AX172" s="217"/>
      <c r="AY172" s="217"/>
      <c r="AZ172" s="218"/>
      <c r="BA172" s="317"/>
      <c r="BB172" s="318"/>
      <c r="BC172" s="318"/>
      <c r="BD172" s="318"/>
      <c r="BE172" s="318"/>
      <c r="BF172" s="318"/>
      <c r="BG172" s="318"/>
      <c r="BH172" s="319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48"/>
    </row>
    <row r="173" spans="1:106" s="117" customFormat="1" ht="12" customHeight="1" x14ac:dyDescent="0.2">
      <c r="A173" s="337"/>
      <c r="B173" s="338"/>
      <c r="C173" s="338"/>
      <c r="D173" s="338"/>
      <c r="E173" s="338"/>
      <c r="F173" s="338"/>
      <c r="G173" s="338"/>
      <c r="H173" s="338"/>
      <c r="I173" s="338"/>
      <c r="J173" s="338"/>
      <c r="K173" s="338"/>
      <c r="L173" s="338"/>
      <c r="M173" s="338"/>
      <c r="N173" s="338"/>
      <c r="O173" s="338"/>
      <c r="P173" s="338"/>
      <c r="Q173" s="338"/>
      <c r="R173" s="338"/>
      <c r="S173" s="338"/>
      <c r="T173" s="338"/>
      <c r="U173" s="338"/>
      <c r="V173" s="338"/>
      <c r="W173" s="339"/>
      <c r="X173" s="259" t="s">
        <v>22</v>
      </c>
      <c r="Y173" s="260"/>
      <c r="Z173" s="260"/>
      <c r="AA173" s="123" t="s">
        <v>28</v>
      </c>
      <c r="AB173" s="342">
        <v>6</v>
      </c>
      <c r="AC173" s="342"/>
      <c r="AD173" s="342"/>
      <c r="AE173" s="342"/>
      <c r="AF173" s="342"/>
      <c r="AG173" s="342"/>
      <c r="AH173" s="342"/>
      <c r="AI173" s="342"/>
      <c r="AJ173" s="342"/>
      <c r="AK173" s="342"/>
      <c r="AL173" s="342"/>
      <c r="AM173" s="342"/>
      <c r="AN173" s="342"/>
      <c r="AO173" s="342"/>
      <c r="AP173" s="342"/>
      <c r="AQ173" s="342"/>
      <c r="AR173" s="342"/>
      <c r="AS173" s="342"/>
      <c r="AT173" s="138"/>
      <c r="AU173" s="138"/>
      <c r="AV173" s="138"/>
      <c r="AW173" s="138"/>
      <c r="AX173" s="138"/>
      <c r="AY173" s="138"/>
      <c r="AZ173" s="139"/>
      <c r="BA173" s="219">
        <f>AB173</f>
        <v>6</v>
      </c>
      <c r="BB173" s="220"/>
      <c r="BC173" s="220"/>
      <c r="BD173" s="220"/>
      <c r="BE173" s="220"/>
      <c r="BF173" s="221" t="s">
        <v>182</v>
      </c>
      <c r="BG173" s="221"/>
      <c r="BH173" s="222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48"/>
    </row>
    <row r="174" spans="1:106" s="117" customFormat="1" ht="12" customHeight="1" x14ac:dyDescent="0.2">
      <c r="A174" s="285" t="s">
        <v>231</v>
      </c>
      <c r="B174" s="286"/>
      <c r="C174" s="286"/>
      <c r="D174" s="286"/>
      <c r="E174" s="286"/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7"/>
      <c r="X174" s="273" t="s">
        <v>201</v>
      </c>
      <c r="Y174" s="274"/>
      <c r="Z174" s="274"/>
      <c r="AA174" s="46" t="s">
        <v>28</v>
      </c>
      <c r="AB174" s="208">
        <v>1.05</v>
      </c>
      <c r="AC174" s="208"/>
      <c r="AD174" s="208"/>
      <c r="AE174" s="208"/>
      <c r="AF174" s="260" t="s">
        <v>209</v>
      </c>
      <c r="AG174" s="260"/>
      <c r="AH174" s="260"/>
      <c r="AI174" s="180" t="s">
        <v>28</v>
      </c>
      <c r="AJ174" s="207" t="str">
        <f>CONCATENATE(AB173," x ",AB174," = ")</f>
        <v xml:space="preserve">6 x 1,05 = </v>
      </c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334"/>
      <c r="BA174" s="219">
        <f>BA173*AB174</f>
        <v>6.3000000000000007</v>
      </c>
      <c r="BB174" s="220"/>
      <c r="BC174" s="220"/>
      <c r="BD174" s="220"/>
      <c r="BE174" s="220"/>
      <c r="BF174" s="221" t="s">
        <v>182</v>
      </c>
      <c r="BG174" s="221"/>
      <c r="BH174" s="222"/>
      <c r="BI174" s="116"/>
      <c r="BJ174" s="187">
        <f>ROUND(BA174*AP172,2)</f>
        <v>12.6</v>
      </c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48"/>
    </row>
    <row r="175" spans="1:106" s="117" customFormat="1" ht="12" customHeight="1" x14ac:dyDescent="0.2">
      <c r="A175" s="223"/>
      <c r="B175" s="224"/>
      <c r="C175" s="142"/>
      <c r="D175" s="312"/>
      <c r="E175" s="312"/>
      <c r="F175" s="312"/>
      <c r="G175" s="312"/>
      <c r="H175" s="312"/>
      <c r="I175" s="149"/>
      <c r="J175" s="149"/>
      <c r="K175" s="149"/>
      <c r="L175" s="149"/>
      <c r="M175" s="149"/>
      <c r="N175" s="149"/>
      <c r="O175" s="149"/>
      <c r="P175" s="149"/>
      <c r="Q175" s="149"/>
      <c r="R175" s="224"/>
      <c r="S175" s="224"/>
      <c r="T175" s="142"/>
      <c r="U175" s="227"/>
      <c r="V175" s="226"/>
      <c r="W175" s="228"/>
      <c r="X175" s="229" t="s">
        <v>181</v>
      </c>
      <c r="Y175" s="230"/>
      <c r="Z175" s="230"/>
      <c r="AA175" s="126" t="s">
        <v>28</v>
      </c>
      <c r="AB175" s="231" t="str">
        <f>CONCATENATE(BA174," x ",AP172," x ",$AO$17," x ",AP171, " x [1 + 0,5 x (",AW171," - 1)] = ")</f>
        <v xml:space="preserve">6,3 x 2 x 307,7 x 1,0844 x [1 + 0,5 x (1,0076 - 1)] = </v>
      </c>
      <c r="AC175" s="231"/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2"/>
      <c r="BA175" s="233">
        <f>ROUND(BA174*AP172*$AO$17*AP171*(1+0.5*(AW171-1)),2)</f>
        <v>4220.22</v>
      </c>
      <c r="BB175" s="234"/>
      <c r="BC175" s="234"/>
      <c r="BD175" s="234"/>
      <c r="BE175" s="234"/>
      <c r="BF175" s="235" t="s">
        <v>23</v>
      </c>
      <c r="BG175" s="235"/>
      <c r="BH175" s="23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48"/>
    </row>
    <row r="176" spans="1:106" s="119" customFormat="1" ht="12" customHeight="1" x14ac:dyDescent="0.2">
      <c r="A176" s="307" t="str">
        <f>график!A28</f>
        <v>6.3</v>
      </c>
      <c r="B176" s="308"/>
      <c r="C176" s="309" t="str">
        <f>график!B28</f>
        <v>организация выбора генеральной проектной организации (при генподрядной схеме разработки проектной документации)</v>
      </c>
      <c r="D176" s="309"/>
      <c r="E176" s="309"/>
      <c r="F176" s="309"/>
      <c r="G176" s="309"/>
      <c r="H176" s="309"/>
      <c r="I176" s="309"/>
      <c r="J176" s="309"/>
      <c r="K176" s="309"/>
      <c r="L176" s="309"/>
      <c r="M176" s="309"/>
      <c r="N176" s="309"/>
      <c r="O176" s="309"/>
      <c r="P176" s="309"/>
      <c r="Q176" s="309"/>
      <c r="R176" s="309"/>
      <c r="S176" s="309"/>
      <c r="T176" s="309"/>
      <c r="U176" s="309"/>
      <c r="V176" s="309"/>
      <c r="W176" s="309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09"/>
      <c r="AK176" s="309"/>
      <c r="AL176" s="309"/>
      <c r="AM176" s="309"/>
      <c r="AN176" s="309"/>
      <c r="AO176" s="309"/>
      <c r="AP176" s="309"/>
      <c r="AQ176" s="309"/>
      <c r="AR176" s="309"/>
      <c r="AS176" s="309"/>
      <c r="AT176" s="309"/>
      <c r="AU176" s="309"/>
      <c r="AV176" s="309"/>
      <c r="AW176" s="309"/>
      <c r="AX176" s="309"/>
      <c r="AY176" s="309"/>
      <c r="AZ176" s="309"/>
      <c r="BA176" s="310" t="s">
        <v>264</v>
      </c>
      <c r="BB176" s="310"/>
      <c r="BC176" s="310"/>
      <c r="BD176" s="310"/>
      <c r="BE176" s="310"/>
      <c r="BF176" s="310"/>
      <c r="BG176" s="310"/>
      <c r="BH176" s="311"/>
      <c r="BI176" s="146"/>
      <c r="BJ176" s="146"/>
      <c r="BK176" s="146"/>
      <c r="BL176" s="146"/>
      <c r="BM176" s="146"/>
      <c r="BN176" s="146"/>
      <c r="BO176" s="146"/>
      <c r="BP176" s="146"/>
      <c r="BQ176" s="146"/>
      <c r="BR176" s="146"/>
      <c r="BS176" s="146"/>
      <c r="BT176" s="146"/>
      <c r="BU176" s="146"/>
      <c r="BV176" s="146"/>
      <c r="BW176" s="146"/>
      <c r="BX176" s="146"/>
      <c r="BY176" s="146"/>
      <c r="BZ176" s="146"/>
      <c r="CA176" s="146"/>
      <c r="CB176" s="146"/>
      <c r="CC176" s="146"/>
      <c r="CD176" s="146"/>
      <c r="CE176" s="146"/>
      <c r="CF176" s="146"/>
      <c r="CG176" s="146"/>
      <c r="CH176" s="146"/>
      <c r="CI176" s="146"/>
      <c r="CJ176" s="146"/>
      <c r="CK176" s="146"/>
      <c r="CL176" s="146"/>
      <c r="CM176" s="146"/>
      <c r="CN176" s="146"/>
      <c r="CO176" s="146"/>
      <c r="CP176" s="146"/>
      <c r="CQ176" s="146"/>
      <c r="CR176" s="146"/>
      <c r="CS176" s="146"/>
      <c r="CT176" s="146"/>
      <c r="CU176" s="146"/>
      <c r="CV176" s="146"/>
      <c r="CW176" s="146"/>
      <c r="CX176" s="146"/>
      <c r="CY176" s="146"/>
      <c r="CZ176" s="146"/>
      <c r="DA176" s="146"/>
      <c r="DB176" s="147"/>
    </row>
    <row r="177" spans="1:106" s="117" customFormat="1" ht="12" customHeight="1" x14ac:dyDescent="0.25">
      <c r="A177" s="237" t="s">
        <v>228</v>
      </c>
      <c r="B177" s="238"/>
      <c r="C177" s="238"/>
      <c r="D177" s="238"/>
      <c r="E177" s="238"/>
      <c r="F177" s="238"/>
      <c r="G177" s="238"/>
      <c r="H177" s="238"/>
      <c r="I177" s="238"/>
      <c r="J177" s="238"/>
      <c r="K177" s="238"/>
      <c r="L177" s="238"/>
      <c r="M177" s="238"/>
      <c r="N177" s="238"/>
      <c r="O177" s="238"/>
      <c r="P177" s="238"/>
      <c r="Q177" s="238"/>
      <c r="R177" s="238"/>
      <c r="S177" s="238"/>
      <c r="T177" s="238"/>
      <c r="U177" s="238"/>
      <c r="V177" s="238"/>
      <c r="W177" s="239"/>
      <c r="X177" s="275" t="s">
        <v>45</v>
      </c>
      <c r="Y177" s="276"/>
      <c r="Z177" s="276"/>
      <c r="AA177" s="276"/>
      <c r="AB177" s="277" t="str">
        <f>график!C28</f>
        <v>дек 2023</v>
      </c>
      <c r="AC177" s="278"/>
      <c r="AD177" s="278"/>
      <c r="AE177" s="278"/>
      <c r="AF177" s="278"/>
      <c r="AG177" s="122" t="s">
        <v>1</v>
      </c>
      <c r="AH177" s="279" t="str">
        <f>график!E28</f>
        <v>дек 2023</v>
      </c>
      <c r="AI177" s="280"/>
      <c r="AJ177" s="280"/>
      <c r="AK177" s="280"/>
      <c r="AL177" s="280"/>
      <c r="AM177" s="211" t="s">
        <v>177</v>
      </c>
      <c r="AN177" s="211"/>
      <c r="AO177" s="120" t="s">
        <v>28</v>
      </c>
      <c r="AP177" s="281">
        <f>график!F28</f>
        <v>1.0431999999999999</v>
      </c>
      <c r="AQ177" s="281"/>
      <c r="AR177" s="281"/>
      <c r="AS177" s="281"/>
      <c r="AT177" s="211" t="s">
        <v>178</v>
      </c>
      <c r="AU177" s="211"/>
      <c r="AV177" s="120" t="s">
        <v>28</v>
      </c>
      <c r="AW177" s="212">
        <f>график!G28</f>
        <v>1.0085</v>
      </c>
      <c r="AX177" s="212"/>
      <c r="AY177" s="212"/>
      <c r="AZ177" s="213"/>
      <c r="BA177" s="214"/>
      <c r="BB177" s="215"/>
      <c r="BC177" s="215"/>
      <c r="BD177" s="215"/>
      <c r="BE177" s="215"/>
      <c r="BF177" s="215"/>
      <c r="BG177" s="215"/>
      <c r="BH177" s="2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48"/>
    </row>
    <row r="178" spans="1:106" s="117" customFormat="1" ht="12" customHeight="1" x14ac:dyDescent="0.2">
      <c r="A178" s="337" t="s">
        <v>227</v>
      </c>
      <c r="B178" s="338"/>
      <c r="C178" s="338"/>
      <c r="D178" s="338"/>
      <c r="E178" s="338"/>
      <c r="F178" s="338"/>
      <c r="G178" s="338"/>
      <c r="H178" s="338"/>
      <c r="I178" s="338"/>
      <c r="J178" s="338"/>
      <c r="K178" s="338"/>
      <c r="L178" s="338"/>
      <c r="M178" s="338"/>
      <c r="N178" s="338"/>
      <c r="O178" s="338"/>
      <c r="P178" s="338"/>
      <c r="Q178" s="338"/>
      <c r="R178" s="338"/>
      <c r="S178" s="338"/>
      <c r="T178" s="338"/>
      <c r="U178" s="338"/>
      <c r="V178" s="338"/>
      <c r="W178" s="339"/>
      <c r="X178" s="259" t="s">
        <v>22</v>
      </c>
      <c r="Y178" s="260"/>
      <c r="Z178" s="260"/>
      <c r="AA178" s="123" t="s">
        <v>28</v>
      </c>
      <c r="AB178" s="342">
        <v>9.5</v>
      </c>
      <c r="AC178" s="342"/>
      <c r="AD178" s="342"/>
      <c r="AE178" s="342"/>
      <c r="AF178" s="342"/>
      <c r="AG178" s="342"/>
      <c r="AH178" s="342"/>
      <c r="AI178" s="342"/>
      <c r="AJ178" s="342"/>
      <c r="AK178" s="342"/>
      <c r="AL178" s="342"/>
      <c r="AM178" s="342"/>
      <c r="AN178" s="342"/>
      <c r="AO178" s="342"/>
      <c r="AP178" s="342"/>
      <c r="AQ178" s="342"/>
      <c r="AR178" s="342"/>
      <c r="AS178" s="342"/>
      <c r="AT178" s="288"/>
      <c r="AU178" s="288"/>
      <c r="AV178" s="127"/>
      <c r="AW178" s="217"/>
      <c r="AX178" s="217"/>
      <c r="AY178" s="217"/>
      <c r="AZ178" s="218"/>
      <c r="BA178" s="219">
        <f>AB178</f>
        <v>9.5</v>
      </c>
      <c r="BB178" s="220"/>
      <c r="BC178" s="220"/>
      <c r="BD178" s="220"/>
      <c r="BE178" s="220"/>
      <c r="BF178" s="221" t="s">
        <v>182</v>
      </c>
      <c r="BG178" s="221"/>
      <c r="BH178" s="222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48"/>
    </row>
    <row r="179" spans="1:106" s="117" customFormat="1" ht="12" customHeight="1" x14ac:dyDescent="0.2">
      <c r="A179" s="345"/>
      <c r="B179" s="346"/>
      <c r="C179" s="346"/>
      <c r="D179" s="346"/>
      <c r="E179" s="346"/>
      <c r="F179" s="346"/>
      <c r="G179" s="346"/>
      <c r="H179" s="346"/>
      <c r="I179" s="346"/>
      <c r="J179" s="346"/>
      <c r="K179" s="346"/>
      <c r="L179" s="346"/>
      <c r="M179" s="346"/>
      <c r="N179" s="346"/>
      <c r="O179" s="346"/>
      <c r="P179" s="346"/>
      <c r="Q179" s="346"/>
      <c r="R179" s="346"/>
      <c r="S179" s="346"/>
      <c r="T179" s="346"/>
      <c r="U179" s="346"/>
      <c r="V179" s="346"/>
      <c r="W179" s="347"/>
      <c r="X179" s="229" t="s">
        <v>181</v>
      </c>
      <c r="Y179" s="230"/>
      <c r="Z179" s="230"/>
      <c r="AA179" s="126" t="s">
        <v>28</v>
      </c>
      <c r="AB179" s="231" t="str">
        <f>CONCATENATE(AB178," x ",$AO$17," x ", AP177," x [1 + 0,5 x (",AW177," - 1)] = ")</f>
        <v xml:space="preserve">9,5 x 307,7 x 1,0432 x [1 + 0,5 x (1,0085 - 1)] = </v>
      </c>
      <c r="AC179" s="231"/>
      <c r="AD179" s="231"/>
      <c r="AE179" s="231"/>
      <c r="AF179" s="231"/>
      <c r="AG179" s="231"/>
      <c r="AH179" s="231"/>
      <c r="AI179" s="231"/>
      <c r="AJ179" s="231"/>
      <c r="AK179" s="231"/>
      <c r="AL179" s="231"/>
      <c r="AM179" s="231"/>
      <c r="AN179" s="231"/>
      <c r="AO179" s="231"/>
      <c r="AP179" s="231"/>
      <c r="AQ179" s="231"/>
      <c r="AR179" s="231"/>
      <c r="AS179" s="231"/>
      <c r="AT179" s="231"/>
      <c r="AU179" s="231"/>
      <c r="AV179" s="231"/>
      <c r="AW179" s="231"/>
      <c r="AX179" s="231"/>
      <c r="AY179" s="231"/>
      <c r="AZ179" s="232"/>
      <c r="BA179" s="233">
        <f>ROUND(AB178*$AO$17*AP177*(1+0.5*(AW177-1)),2)</f>
        <v>3062.39</v>
      </c>
      <c r="BB179" s="234"/>
      <c r="BC179" s="234"/>
      <c r="BD179" s="234"/>
      <c r="BE179" s="234"/>
      <c r="BF179" s="235" t="s">
        <v>23</v>
      </c>
      <c r="BG179" s="235"/>
      <c r="BH179" s="23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48"/>
    </row>
    <row r="180" spans="1:106" s="119" customFormat="1" ht="12" customHeight="1" x14ac:dyDescent="0.2">
      <c r="A180" s="307" t="str">
        <f>график!A29</f>
        <v>6.4</v>
      </c>
      <c r="B180" s="308"/>
      <c r="C180" s="309" t="str">
        <f>график!B29</f>
        <v>организация выбора генеральной подрядной организации (при генподрядной схеме строительства)</v>
      </c>
      <c r="D180" s="309"/>
      <c r="E180" s="309"/>
      <c r="F180" s="309"/>
      <c r="G180" s="309"/>
      <c r="H180" s="309"/>
      <c r="I180" s="309"/>
      <c r="J180" s="309"/>
      <c r="K180" s="309"/>
      <c r="L180" s="309"/>
      <c r="M180" s="309"/>
      <c r="N180" s="309"/>
      <c r="O180" s="309"/>
      <c r="P180" s="309"/>
      <c r="Q180" s="309"/>
      <c r="R180" s="309"/>
      <c r="S180" s="309"/>
      <c r="T180" s="309"/>
      <c r="U180" s="309"/>
      <c r="V180" s="309"/>
      <c r="W180" s="309"/>
      <c r="X180" s="309"/>
      <c r="Y180" s="309"/>
      <c r="Z180" s="309"/>
      <c r="AA180" s="309"/>
      <c r="AB180" s="309"/>
      <c r="AC180" s="309"/>
      <c r="AD180" s="309"/>
      <c r="AE180" s="309"/>
      <c r="AF180" s="309"/>
      <c r="AG180" s="309"/>
      <c r="AH180" s="309"/>
      <c r="AI180" s="309"/>
      <c r="AJ180" s="309"/>
      <c r="AK180" s="309"/>
      <c r="AL180" s="309"/>
      <c r="AM180" s="309"/>
      <c r="AN180" s="309"/>
      <c r="AO180" s="309"/>
      <c r="AP180" s="309"/>
      <c r="AQ180" s="309"/>
      <c r="AR180" s="309"/>
      <c r="AS180" s="309"/>
      <c r="AT180" s="309"/>
      <c r="AU180" s="309"/>
      <c r="AV180" s="309"/>
      <c r="AW180" s="309"/>
      <c r="AX180" s="309"/>
      <c r="AY180" s="309"/>
      <c r="AZ180" s="309"/>
      <c r="BA180" s="310" t="s">
        <v>264</v>
      </c>
      <c r="BB180" s="310"/>
      <c r="BC180" s="310"/>
      <c r="BD180" s="310"/>
      <c r="BE180" s="310"/>
      <c r="BF180" s="310"/>
      <c r="BG180" s="310"/>
      <c r="BH180" s="311"/>
      <c r="BI180" s="146"/>
      <c r="BJ180" s="146"/>
      <c r="BK180" s="146"/>
      <c r="BL180" s="146"/>
      <c r="BM180" s="146"/>
      <c r="BN180" s="146"/>
      <c r="BO180" s="146"/>
      <c r="BP180" s="146"/>
      <c r="BQ180" s="146"/>
      <c r="BR180" s="146"/>
      <c r="BS180" s="146"/>
      <c r="BT180" s="146"/>
      <c r="BU180" s="146"/>
      <c r="BV180" s="146"/>
      <c r="BW180" s="146"/>
      <c r="BX180" s="146"/>
      <c r="BY180" s="146"/>
      <c r="BZ180" s="146"/>
      <c r="CA180" s="146"/>
      <c r="CB180" s="146"/>
      <c r="CC180" s="146"/>
      <c r="CD180" s="146"/>
      <c r="CE180" s="146"/>
      <c r="CF180" s="146"/>
      <c r="CG180" s="146"/>
      <c r="CH180" s="146"/>
      <c r="CI180" s="146"/>
      <c r="CJ180" s="146"/>
      <c r="CK180" s="146"/>
      <c r="CL180" s="146"/>
      <c r="CM180" s="146"/>
      <c r="CN180" s="146"/>
      <c r="CO180" s="146"/>
      <c r="CP180" s="146"/>
      <c r="CQ180" s="146"/>
      <c r="CR180" s="146"/>
      <c r="CS180" s="146"/>
      <c r="CT180" s="146"/>
      <c r="CU180" s="146"/>
      <c r="CV180" s="146"/>
      <c r="CW180" s="146"/>
      <c r="CX180" s="146"/>
      <c r="CY180" s="146"/>
      <c r="CZ180" s="146"/>
      <c r="DA180" s="146"/>
      <c r="DB180" s="147"/>
    </row>
    <row r="181" spans="1:106" s="117" customFormat="1" ht="12" customHeight="1" x14ac:dyDescent="0.25">
      <c r="A181" s="237" t="s">
        <v>228</v>
      </c>
      <c r="B181" s="238"/>
      <c r="C181" s="238"/>
      <c r="D181" s="238"/>
      <c r="E181" s="238"/>
      <c r="F181" s="238"/>
      <c r="G181" s="238"/>
      <c r="H181" s="238"/>
      <c r="I181" s="238"/>
      <c r="J181" s="238"/>
      <c r="K181" s="238"/>
      <c r="L181" s="238"/>
      <c r="M181" s="238"/>
      <c r="N181" s="238"/>
      <c r="O181" s="238"/>
      <c r="P181" s="238"/>
      <c r="Q181" s="238"/>
      <c r="R181" s="238"/>
      <c r="S181" s="238"/>
      <c r="T181" s="238"/>
      <c r="U181" s="238"/>
      <c r="V181" s="238"/>
      <c r="W181" s="239"/>
      <c r="X181" s="275" t="s">
        <v>45</v>
      </c>
      <c r="Y181" s="276"/>
      <c r="Z181" s="276"/>
      <c r="AA181" s="276"/>
      <c r="AB181" s="277" t="str">
        <f>график!C29</f>
        <v>июл 2024</v>
      </c>
      <c r="AC181" s="278"/>
      <c r="AD181" s="278"/>
      <c r="AE181" s="278"/>
      <c r="AF181" s="278"/>
      <c r="AG181" s="122" t="s">
        <v>1</v>
      </c>
      <c r="AH181" s="279" t="str">
        <f>график!E29</f>
        <v>авг 2024</v>
      </c>
      <c r="AI181" s="280"/>
      <c r="AJ181" s="280"/>
      <c r="AK181" s="280"/>
      <c r="AL181" s="280"/>
      <c r="AM181" s="211" t="s">
        <v>177</v>
      </c>
      <c r="AN181" s="211"/>
      <c r="AO181" s="120" t="s">
        <v>28</v>
      </c>
      <c r="AP181" s="281">
        <f>график!F29</f>
        <v>1.101</v>
      </c>
      <c r="AQ181" s="281"/>
      <c r="AR181" s="281"/>
      <c r="AS181" s="281"/>
      <c r="AT181" s="211" t="s">
        <v>178</v>
      </c>
      <c r="AU181" s="211"/>
      <c r="AV181" s="120" t="s">
        <v>28</v>
      </c>
      <c r="AW181" s="212">
        <f>график!G29</f>
        <v>1.0153000000000001</v>
      </c>
      <c r="AX181" s="212"/>
      <c r="AY181" s="212"/>
      <c r="AZ181" s="213"/>
      <c r="BA181" s="214"/>
      <c r="BB181" s="215"/>
      <c r="BC181" s="215"/>
      <c r="BD181" s="215"/>
      <c r="BE181" s="215"/>
      <c r="BF181" s="215"/>
      <c r="BG181" s="215"/>
      <c r="BH181" s="2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48"/>
    </row>
    <row r="182" spans="1:106" s="117" customFormat="1" ht="12" customHeight="1" x14ac:dyDescent="0.2">
      <c r="A182" s="337" t="s">
        <v>227</v>
      </c>
      <c r="B182" s="338"/>
      <c r="C182" s="338"/>
      <c r="D182" s="338"/>
      <c r="E182" s="338"/>
      <c r="F182" s="338"/>
      <c r="G182" s="338"/>
      <c r="H182" s="338"/>
      <c r="I182" s="338"/>
      <c r="J182" s="338"/>
      <c r="K182" s="338"/>
      <c r="L182" s="338"/>
      <c r="M182" s="338"/>
      <c r="N182" s="338"/>
      <c r="O182" s="338"/>
      <c r="P182" s="338"/>
      <c r="Q182" s="338"/>
      <c r="R182" s="338"/>
      <c r="S182" s="338"/>
      <c r="T182" s="338"/>
      <c r="U182" s="338"/>
      <c r="V182" s="338"/>
      <c r="W182" s="339"/>
      <c r="X182" s="259" t="s">
        <v>22</v>
      </c>
      <c r="Y182" s="260"/>
      <c r="Z182" s="260"/>
      <c r="AA182" s="123" t="s">
        <v>28</v>
      </c>
      <c r="AB182" s="342">
        <v>9.5</v>
      </c>
      <c r="AC182" s="342"/>
      <c r="AD182" s="342"/>
      <c r="AE182" s="342"/>
      <c r="AF182" s="342"/>
      <c r="AG182" s="342"/>
      <c r="AH182" s="342"/>
      <c r="AI182" s="342"/>
      <c r="AJ182" s="342"/>
      <c r="AK182" s="342"/>
      <c r="AL182" s="342"/>
      <c r="AM182" s="342"/>
      <c r="AN182" s="342"/>
      <c r="AO182" s="342"/>
      <c r="AP182" s="342"/>
      <c r="AQ182" s="342"/>
      <c r="AR182" s="342"/>
      <c r="AS182" s="342"/>
      <c r="AT182" s="288"/>
      <c r="AU182" s="288"/>
      <c r="AV182" s="127"/>
      <c r="AW182" s="217"/>
      <c r="AX182" s="217"/>
      <c r="AY182" s="217"/>
      <c r="AZ182" s="218"/>
      <c r="BA182" s="219">
        <f>AB182</f>
        <v>9.5</v>
      </c>
      <c r="BB182" s="220"/>
      <c r="BC182" s="220"/>
      <c r="BD182" s="220"/>
      <c r="BE182" s="220"/>
      <c r="BF182" s="221" t="s">
        <v>182</v>
      </c>
      <c r="BG182" s="221"/>
      <c r="BH182" s="222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48"/>
    </row>
    <row r="183" spans="1:106" s="117" customFormat="1" ht="12" customHeight="1" x14ac:dyDescent="0.2">
      <c r="A183" s="345"/>
      <c r="B183" s="346"/>
      <c r="C183" s="346"/>
      <c r="D183" s="346"/>
      <c r="E183" s="346"/>
      <c r="F183" s="346"/>
      <c r="G183" s="346"/>
      <c r="H183" s="346"/>
      <c r="I183" s="346"/>
      <c r="J183" s="346"/>
      <c r="K183" s="346"/>
      <c r="L183" s="346"/>
      <c r="M183" s="346"/>
      <c r="N183" s="346"/>
      <c r="O183" s="346"/>
      <c r="P183" s="346"/>
      <c r="Q183" s="346"/>
      <c r="R183" s="346"/>
      <c r="S183" s="346"/>
      <c r="T183" s="346"/>
      <c r="U183" s="346"/>
      <c r="V183" s="346"/>
      <c r="W183" s="347"/>
      <c r="X183" s="229" t="s">
        <v>181</v>
      </c>
      <c r="Y183" s="230"/>
      <c r="Z183" s="230"/>
      <c r="AA183" s="126" t="s">
        <v>28</v>
      </c>
      <c r="AB183" s="231" t="str">
        <f>CONCATENATE(AB182," x ",$AO$17," x ", AP181," x [1 + 0,5 x (",AW181," - 1)] = ")</f>
        <v xml:space="preserve">9,5 x 307,7 x 1,101 x [1 + 0,5 x (1,0153 - 1)] = </v>
      </c>
      <c r="AC183" s="231"/>
      <c r="AD183" s="231"/>
      <c r="AE183" s="231"/>
      <c r="AF183" s="231"/>
      <c r="AG183" s="231"/>
      <c r="AH183" s="231"/>
      <c r="AI183" s="231"/>
      <c r="AJ183" s="231"/>
      <c r="AK183" s="231"/>
      <c r="AL183" s="231"/>
      <c r="AM183" s="231"/>
      <c r="AN183" s="231"/>
      <c r="AO183" s="231"/>
      <c r="AP183" s="231"/>
      <c r="AQ183" s="231"/>
      <c r="AR183" s="231"/>
      <c r="AS183" s="231"/>
      <c r="AT183" s="231"/>
      <c r="AU183" s="231"/>
      <c r="AV183" s="231"/>
      <c r="AW183" s="231"/>
      <c r="AX183" s="231"/>
      <c r="AY183" s="231"/>
      <c r="AZ183" s="232"/>
      <c r="BA183" s="233">
        <f>ROUND(AB182*$AO$17*AP181*(1+0.5*(AW181-1)),2)</f>
        <v>3243.01</v>
      </c>
      <c r="BB183" s="234"/>
      <c r="BC183" s="234"/>
      <c r="BD183" s="234"/>
      <c r="BE183" s="234"/>
      <c r="BF183" s="235" t="s">
        <v>23</v>
      </c>
      <c r="BG183" s="235"/>
      <c r="BH183" s="23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48"/>
    </row>
    <row r="184" spans="1:106" s="119" customFormat="1" ht="22.5" customHeight="1" x14ac:dyDescent="0.2">
      <c r="A184" s="343" t="str">
        <f>график!A30</f>
        <v>6.5</v>
      </c>
      <c r="B184" s="344"/>
      <c r="C184" s="309" t="str">
        <f>график!B30</f>
        <v>организация выбора подрядных организаций на выполнение отдельных видов работ, услуг (при подрядной схеме строительства)</v>
      </c>
      <c r="D184" s="309"/>
      <c r="E184" s="309"/>
      <c r="F184" s="309"/>
      <c r="G184" s="309"/>
      <c r="H184" s="309"/>
      <c r="I184" s="309"/>
      <c r="J184" s="309"/>
      <c r="K184" s="309"/>
      <c r="L184" s="309"/>
      <c r="M184" s="309"/>
      <c r="N184" s="309"/>
      <c r="O184" s="309"/>
      <c r="P184" s="309"/>
      <c r="Q184" s="309"/>
      <c r="R184" s="309"/>
      <c r="S184" s="309"/>
      <c r="T184" s="309"/>
      <c r="U184" s="309"/>
      <c r="V184" s="309"/>
      <c r="W184" s="309"/>
      <c r="X184" s="309"/>
      <c r="Y184" s="309"/>
      <c r="Z184" s="309"/>
      <c r="AA184" s="309"/>
      <c r="AB184" s="309"/>
      <c r="AC184" s="309"/>
      <c r="AD184" s="309"/>
      <c r="AE184" s="309"/>
      <c r="AF184" s="309"/>
      <c r="AG184" s="309"/>
      <c r="AH184" s="309"/>
      <c r="AI184" s="309"/>
      <c r="AJ184" s="309"/>
      <c r="AK184" s="309"/>
      <c r="AL184" s="309"/>
      <c r="AM184" s="309"/>
      <c r="AN184" s="309"/>
      <c r="AO184" s="309"/>
      <c r="AP184" s="309"/>
      <c r="AQ184" s="309"/>
      <c r="AR184" s="309"/>
      <c r="AS184" s="309"/>
      <c r="AT184" s="309"/>
      <c r="AU184" s="309"/>
      <c r="AV184" s="309"/>
      <c r="AW184" s="309"/>
      <c r="AX184" s="309"/>
      <c r="AY184" s="309"/>
      <c r="AZ184" s="309"/>
      <c r="BA184" s="335" t="s">
        <v>283</v>
      </c>
      <c r="BB184" s="335"/>
      <c r="BC184" s="335"/>
      <c r="BD184" s="335"/>
      <c r="BE184" s="335"/>
      <c r="BF184" s="335"/>
      <c r="BG184" s="335"/>
      <c r="BH184" s="336"/>
      <c r="BI184" s="146"/>
      <c r="BJ184" s="146"/>
      <c r="BK184" s="146"/>
      <c r="BL184" s="146"/>
      <c r="BM184" s="146"/>
      <c r="BN184" s="146"/>
      <c r="BO184" s="146"/>
      <c r="BP184" s="146"/>
      <c r="BQ184" s="146"/>
      <c r="BR184" s="146"/>
      <c r="BS184" s="146"/>
      <c r="BT184" s="146"/>
      <c r="BU184" s="146"/>
      <c r="BV184" s="146"/>
      <c r="BW184" s="146"/>
      <c r="BX184" s="146"/>
      <c r="BY184" s="146"/>
      <c r="BZ184" s="146"/>
      <c r="CA184" s="146"/>
      <c r="CB184" s="146"/>
      <c r="CC184" s="146"/>
      <c r="CD184" s="146"/>
      <c r="CE184" s="146"/>
      <c r="CF184" s="146"/>
      <c r="CG184" s="146"/>
      <c r="CH184" s="146"/>
      <c r="CI184" s="146"/>
      <c r="CJ184" s="146"/>
      <c r="CK184" s="146"/>
      <c r="CL184" s="146"/>
      <c r="CM184" s="146"/>
      <c r="CN184" s="146"/>
      <c r="CO184" s="146"/>
      <c r="CP184" s="146"/>
      <c r="CQ184" s="146"/>
      <c r="CR184" s="146"/>
      <c r="CS184" s="146"/>
      <c r="CT184" s="146"/>
      <c r="CU184" s="146"/>
      <c r="CV184" s="146"/>
      <c r="CW184" s="146"/>
      <c r="CX184" s="146"/>
      <c r="CY184" s="146"/>
      <c r="CZ184" s="146"/>
      <c r="DA184" s="146"/>
      <c r="DB184" s="147"/>
    </row>
    <row r="185" spans="1:106" s="117" customFormat="1" ht="12" customHeight="1" x14ac:dyDescent="0.25">
      <c r="A185" s="237" t="s">
        <v>234</v>
      </c>
      <c r="B185" s="238"/>
      <c r="C185" s="238"/>
      <c r="D185" s="238"/>
      <c r="E185" s="238"/>
      <c r="F185" s="238"/>
      <c r="G185" s="238"/>
      <c r="H185" s="238"/>
      <c r="I185" s="238"/>
      <c r="J185" s="238"/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  <c r="U185" s="238"/>
      <c r="V185" s="238"/>
      <c r="W185" s="239"/>
      <c r="X185" s="275" t="s">
        <v>45</v>
      </c>
      <c r="Y185" s="276"/>
      <c r="Z185" s="276"/>
      <c r="AA185" s="276"/>
      <c r="AB185" s="277"/>
      <c r="AC185" s="278"/>
      <c r="AD185" s="278"/>
      <c r="AE185" s="278"/>
      <c r="AF185" s="278"/>
      <c r="AG185" s="122" t="s">
        <v>1</v>
      </c>
      <c r="AH185" s="279"/>
      <c r="AI185" s="280"/>
      <c r="AJ185" s="280"/>
      <c r="AK185" s="280"/>
      <c r="AL185" s="280"/>
      <c r="AM185" s="211" t="s">
        <v>177</v>
      </c>
      <c r="AN185" s="211"/>
      <c r="AO185" s="120" t="s">
        <v>28</v>
      </c>
      <c r="AP185" s="281"/>
      <c r="AQ185" s="281"/>
      <c r="AR185" s="281"/>
      <c r="AS185" s="281"/>
      <c r="AT185" s="211" t="s">
        <v>178</v>
      </c>
      <c r="AU185" s="211"/>
      <c r="AV185" s="120" t="s">
        <v>28</v>
      </c>
      <c r="AW185" s="212"/>
      <c r="AX185" s="212"/>
      <c r="AY185" s="212"/>
      <c r="AZ185" s="213"/>
      <c r="BA185" s="214"/>
      <c r="BB185" s="215"/>
      <c r="BC185" s="215"/>
      <c r="BD185" s="215"/>
      <c r="BE185" s="215"/>
      <c r="BF185" s="215"/>
      <c r="BG185" s="215"/>
      <c r="BH185" s="2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48"/>
    </row>
    <row r="186" spans="1:106" s="117" customFormat="1" ht="12" customHeight="1" x14ac:dyDescent="0.2">
      <c r="A186" s="337" t="s">
        <v>227</v>
      </c>
      <c r="B186" s="338"/>
      <c r="C186" s="338"/>
      <c r="D186" s="338"/>
      <c r="E186" s="338"/>
      <c r="F186" s="338"/>
      <c r="G186" s="338"/>
      <c r="H186" s="338"/>
      <c r="I186" s="338"/>
      <c r="J186" s="338"/>
      <c r="K186" s="338"/>
      <c r="L186" s="338"/>
      <c r="M186" s="338"/>
      <c r="N186" s="338"/>
      <c r="O186" s="338"/>
      <c r="P186" s="338"/>
      <c r="Q186" s="338"/>
      <c r="R186" s="338"/>
      <c r="S186" s="338"/>
      <c r="T186" s="338"/>
      <c r="U186" s="338"/>
      <c r="V186" s="338"/>
      <c r="W186" s="339"/>
      <c r="X186" s="259" t="s">
        <v>22</v>
      </c>
      <c r="Y186" s="260"/>
      <c r="Z186" s="260"/>
      <c r="AA186" s="123" t="s">
        <v>28</v>
      </c>
      <c r="AB186" s="342"/>
      <c r="AC186" s="342"/>
      <c r="AD186" s="342"/>
      <c r="AE186" s="342"/>
      <c r="AF186" s="342"/>
      <c r="AG186" s="342"/>
      <c r="AH186" s="342"/>
      <c r="AI186" s="342"/>
      <c r="AJ186" s="342"/>
      <c r="AK186" s="342"/>
      <c r="AL186" s="342"/>
      <c r="AM186" s="342"/>
      <c r="AN186" s="342"/>
      <c r="AO186" s="342"/>
      <c r="AP186" s="342"/>
      <c r="AQ186" s="342"/>
      <c r="AR186" s="342"/>
      <c r="AS186" s="342"/>
      <c r="AT186" s="288"/>
      <c r="AU186" s="288"/>
      <c r="AV186" s="127"/>
      <c r="AW186" s="217"/>
      <c r="AX186" s="217"/>
      <c r="AY186" s="217"/>
      <c r="AZ186" s="218"/>
      <c r="BA186" s="219">
        <f>AB186</f>
        <v>0</v>
      </c>
      <c r="BB186" s="220"/>
      <c r="BC186" s="220"/>
      <c r="BD186" s="220"/>
      <c r="BE186" s="220"/>
      <c r="BF186" s="221" t="s">
        <v>182</v>
      </c>
      <c r="BG186" s="221"/>
      <c r="BH186" s="222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48"/>
    </row>
    <row r="187" spans="1:106" s="117" customFormat="1" ht="12" customHeight="1" x14ac:dyDescent="0.2">
      <c r="A187" s="345"/>
      <c r="B187" s="346"/>
      <c r="C187" s="346"/>
      <c r="D187" s="346"/>
      <c r="E187" s="346"/>
      <c r="F187" s="346"/>
      <c r="G187" s="346"/>
      <c r="H187" s="346"/>
      <c r="I187" s="346"/>
      <c r="J187" s="346"/>
      <c r="K187" s="346"/>
      <c r="L187" s="346"/>
      <c r="M187" s="346"/>
      <c r="N187" s="346"/>
      <c r="O187" s="346"/>
      <c r="P187" s="346"/>
      <c r="Q187" s="346"/>
      <c r="R187" s="346"/>
      <c r="S187" s="346"/>
      <c r="T187" s="346"/>
      <c r="U187" s="346"/>
      <c r="V187" s="346"/>
      <c r="W187" s="347"/>
      <c r="X187" s="229" t="s">
        <v>181</v>
      </c>
      <c r="Y187" s="230"/>
      <c r="Z187" s="230"/>
      <c r="AA187" s="126" t="s">
        <v>28</v>
      </c>
      <c r="AB187" s="231"/>
      <c r="AC187" s="231"/>
      <c r="AD187" s="231"/>
      <c r="AE187" s="231"/>
      <c r="AF187" s="231"/>
      <c r="AG187" s="231"/>
      <c r="AH187" s="231"/>
      <c r="AI187" s="231"/>
      <c r="AJ187" s="231"/>
      <c r="AK187" s="231"/>
      <c r="AL187" s="231"/>
      <c r="AM187" s="231"/>
      <c r="AN187" s="231"/>
      <c r="AO187" s="231"/>
      <c r="AP187" s="231"/>
      <c r="AQ187" s="231"/>
      <c r="AR187" s="231"/>
      <c r="AS187" s="231"/>
      <c r="AT187" s="231"/>
      <c r="AU187" s="231"/>
      <c r="AV187" s="231"/>
      <c r="AW187" s="231"/>
      <c r="AX187" s="231"/>
      <c r="AY187" s="231"/>
      <c r="AZ187" s="232"/>
      <c r="BA187" s="233">
        <f>ROUND(AB186*$AO$17*AP185*(1+0.5*(AW185-1)),2)</f>
        <v>0</v>
      </c>
      <c r="BB187" s="234"/>
      <c r="BC187" s="234"/>
      <c r="BD187" s="234"/>
      <c r="BE187" s="234"/>
      <c r="BF187" s="235" t="s">
        <v>23</v>
      </c>
      <c r="BG187" s="235"/>
      <c r="BH187" s="23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48"/>
    </row>
    <row r="188" spans="1:106" s="119" customFormat="1" ht="12" customHeight="1" x14ac:dyDescent="0.2">
      <c r="A188" s="307" t="str">
        <f>график!A31</f>
        <v>6.6</v>
      </c>
      <c r="B188" s="308"/>
      <c r="C188" s="309" t="str">
        <f>график!B31</f>
        <v xml:space="preserve">организация выбора поставщиков строительных материалов, изделий, конструкций, мебели и оборудования в части обязательств заказчика </v>
      </c>
      <c r="D188" s="309"/>
      <c r="E188" s="309"/>
      <c r="F188" s="309"/>
      <c r="G188" s="309"/>
      <c r="H188" s="309"/>
      <c r="I188" s="309"/>
      <c r="J188" s="309"/>
      <c r="K188" s="309"/>
      <c r="L188" s="309"/>
      <c r="M188" s="309"/>
      <c r="N188" s="309"/>
      <c r="O188" s="309"/>
      <c r="P188" s="309"/>
      <c r="Q188" s="309"/>
      <c r="R188" s="309"/>
      <c r="S188" s="309"/>
      <c r="T188" s="309"/>
      <c r="U188" s="309"/>
      <c r="V188" s="309"/>
      <c r="W188" s="309"/>
      <c r="X188" s="309"/>
      <c r="Y188" s="309"/>
      <c r="Z188" s="309"/>
      <c r="AA188" s="309"/>
      <c r="AB188" s="309"/>
      <c r="AC188" s="309"/>
      <c r="AD188" s="309"/>
      <c r="AE188" s="309"/>
      <c r="AF188" s="309"/>
      <c r="AG188" s="309"/>
      <c r="AH188" s="309"/>
      <c r="AI188" s="309"/>
      <c r="AJ188" s="309"/>
      <c r="AK188" s="309"/>
      <c r="AL188" s="309"/>
      <c r="AM188" s="309"/>
      <c r="AN188" s="309"/>
      <c r="AO188" s="309"/>
      <c r="AP188" s="309"/>
      <c r="AQ188" s="309"/>
      <c r="AR188" s="309"/>
      <c r="AS188" s="309"/>
      <c r="AT188" s="309"/>
      <c r="AU188" s="309"/>
      <c r="AV188" s="309"/>
      <c r="AW188" s="309"/>
      <c r="AX188" s="309"/>
      <c r="AY188" s="309"/>
      <c r="AZ188" s="309"/>
      <c r="BA188" s="335" t="s">
        <v>284</v>
      </c>
      <c r="BB188" s="335"/>
      <c r="BC188" s="335"/>
      <c r="BD188" s="335"/>
      <c r="BE188" s="335"/>
      <c r="BF188" s="335"/>
      <c r="BG188" s="335"/>
      <c r="BH188" s="336"/>
      <c r="BI188" s="146"/>
      <c r="BJ188" s="146"/>
      <c r="BK188" s="146"/>
      <c r="BL188" s="146"/>
      <c r="BM188" s="146"/>
      <c r="BN188" s="146"/>
      <c r="BO188" s="146"/>
      <c r="BP188" s="146"/>
      <c r="BQ188" s="146"/>
      <c r="BR188" s="146"/>
      <c r="BS188" s="146"/>
      <c r="BT188" s="146"/>
      <c r="BU188" s="146"/>
      <c r="BV188" s="146"/>
      <c r="BW188" s="146"/>
      <c r="BX188" s="146"/>
      <c r="BY188" s="146"/>
      <c r="BZ188" s="146"/>
      <c r="CA188" s="146"/>
      <c r="CB188" s="146"/>
      <c r="CC188" s="146"/>
      <c r="CD188" s="146"/>
      <c r="CE188" s="146"/>
      <c r="CF188" s="146"/>
      <c r="CG188" s="146"/>
      <c r="CH188" s="146"/>
      <c r="CI188" s="146"/>
      <c r="CJ188" s="146"/>
      <c r="CK188" s="146"/>
      <c r="CL188" s="146"/>
      <c r="CM188" s="146"/>
      <c r="CN188" s="146"/>
      <c r="CO188" s="146"/>
      <c r="CP188" s="146"/>
      <c r="CQ188" s="146"/>
      <c r="CR188" s="146"/>
      <c r="CS188" s="146"/>
      <c r="CT188" s="146"/>
      <c r="CU188" s="146"/>
      <c r="CV188" s="146"/>
      <c r="CW188" s="146"/>
      <c r="CX188" s="146"/>
      <c r="CY188" s="146"/>
      <c r="CZ188" s="146"/>
      <c r="DA188" s="146"/>
      <c r="DB188" s="147"/>
    </row>
    <row r="189" spans="1:106" s="117" customFormat="1" ht="12" customHeight="1" x14ac:dyDescent="0.25">
      <c r="A189" s="237" t="s">
        <v>235</v>
      </c>
      <c r="B189" s="238"/>
      <c r="C189" s="238"/>
      <c r="D189" s="238"/>
      <c r="E189" s="238"/>
      <c r="F189" s="238"/>
      <c r="G189" s="238"/>
      <c r="H189" s="238"/>
      <c r="I189" s="238"/>
      <c r="J189" s="238"/>
      <c r="K189" s="238"/>
      <c r="L189" s="238"/>
      <c r="M189" s="238"/>
      <c r="N189" s="238"/>
      <c r="O189" s="238"/>
      <c r="P189" s="238"/>
      <c r="Q189" s="238"/>
      <c r="R189" s="238"/>
      <c r="S189" s="238"/>
      <c r="T189" s="238"/>
      <c r="U189" s="238"/>
      <c r="V189" s="238"/>
      <c r="W189" s="239"/>
      <c r="X189" s="275" t="s">
        <v>45</v>
      </c>
      <c r="Y189" s="276"/>
      <c r="Z189" s="276"/>
      <c r="AA189" s="276"/>
      <c r="AB189" s="277" t="str">
        <f>график!C31</f>
        <v>окт 2024</v>
      </c>
      <c r="AC189" s="278"/>
      <c r="AD189" s="278"/>
      <c r="AE189" s="278"/>
      <c r="AF189" s="278"/>
      <c r="AG189" s="122" t="s">
        <v>1</v>
      </c>
      <c r="AH189" s="279" t="str">
        <f>график!E31</f>
        <v>дек 2024</v>
      </c>
      <c r="AI189" s="280"/>
      <c r="AJ189" s="280"/>
      <c r="AK189" s="280"/>
      <c r="AL189" s="280"/>
      <c r="AM189" s="211" t="s">
        <v>177</v>
      </c>
      <c r="AN189" s="211"/>
      <c r="AO189" s="120" t="s">
        <v>28</v>
      </c>
      <c r="AP189" s="281">
        <f>график!F31</f>
        <v>1.1263000000000001</v>
      </c>
      <c r="AQ189" s="281"/>
      <c r="AR189" s="281"/>
      <c r="AS189" s="281"/>
      <c r="AT189" s="211" t="s">
        <v>178</v>
      </c>
      <c r="AU189" s="211"/>
      <c r="AV189" s="120" t="s">
        <v>28</v>
      </c>
      <c r="AW189" s="212">
        <f>график!G31</f>
        <v>1.0229999999999999</v>
      </c>
      <c r="AX189" s="212"/>
      <c r="AY189" s="212"/>
      <c r="AZ189" s="213"/>
      <c r="BA189" s="214"/>
      <c r="BB189" s="215"/>
      <c r="BC189" s="215"/>
      <c r="BD189" s="215"/>
      <c r="BE189" s="215"/>
      <c r="BF189" s="215"/>
      <c r="BG189" s="215"/>
      <c r="BH189" s="2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48"/>
    </row>
    <row r="190" spans="1:106" s="117" customFormat="1" ht="12" customHeight="1" x14ac:dyDescent="0.2">
      <c r="A190" s="337" t="s">
        <v>236</v>
      </c>
      <c r="B190" s="338"/>
      <c r="C190" s="338"/>
      <c r="D190" s="338"/>
      <c r="E190" s="338"/>
      <c r="F190" s="338"/>
      <c r="G190" s="338"/>
      <c r="H190" s="338"/>
      <c r="I190" s="338"/>
      <c r="J190" s="338"/>
      <c r="K190" s="338"/>
      <c r="L190" s="338"/>
      <c r="M190" s="338"/>
      <c r="N190" s="338"/>
      <c r="O190" s="338"/>
      <c r="P190" s="338"/>
      <c r="Q190" s="338"/>
      <c r="R190" s="338"/>
      <c r="S190" s="338"/>
      <c r="T190" s="338"/>
      <c r="U190" s="338"/>
      <c r="V190" s="338"/>
      <c r="W190" s="339"/>
      <c r="X190" s="340" t="s">
        <v>233</v>
      </c>
      <c r="Y190" s="341"/>
      <c r="Z190" s="341"/>
      <c r="AA190" s="341"/>
      <c r="AB190" s="341"/>
      <c r="AC190" s="341"/>
      <c r="AD190" s="341"/>
      <c r="AE190" s="341"/>
      <c r="AF190" s="341"/>
      <c r="AG190" s="341"/>
      <c r="AH190" s="341"/>
      <c r="AI190" s="341"/>
      <c r="AJ190" s="341"/>
      <c r="AK190" s="341"/>
      <c r="AL190" s="341"/>
      <c r="AM190" s="341"/>
      <c r="AN190" s="341"/>
      <c r="AO190" s="127" t="s">
        <v>28</v>
      </c>
      <c r="AP190" s="217">
        <v>4</v>
      </c>
      <c r="AQ190" s="217"/>
      <c r="AR190" s="217"/>
      <c r="AS190" s="217"/>
      <c r="AT190" s="288"/>
      <c r="AU190" s="288"/>
      <c r="AV190" s="127"/>
      <c r="AW190" s="217"/>
      <c r="AX190" s="217"/>
      <c r="AY190" s="217"/>
      <c r="AZ190" s="218"/>
      <c r="BA190" s="317"/>
      <c r="BB190" s="318"/>
      <c r="BC190" s="318"/>
      <c r="BD190" s="318"/>
      <c r="BE190" s="318"/>
      <c r="BF190" s="318"/>
      <c r="BG190" s="318"/>
      <c r="BH190" s="319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48"/>
    </row>
    <row r="191" spans="1:106" s="117" customFormat="1" ht="12" customHeight="1" x14ac:dyDescent="0.2">
      <c r="A191" s="337"/>
      <c r="B191" s="338"/>
      <c r="C191" s="338"/>
      <c r="D191" s="338"/>
      <c r="E191" s="338"/>
      <c r="F191" s="338"/>
      <c r="G191" s="338"/>
      <c r="H191" s="338"/>
      <c r="I191" s="338"/>
      <c r="J191" s="338"/>
      <c r="K191" s="338"/>
      <c r="L191" s="338"/>
      <c r="M191" s="338"/>
      <c r="N191" s="338"/>
      <c r="O191" s="338"/>
      <c r="P191" s="338"/>
      <c r="Q191" s="338"/>
      <c r="R191" s="338"/>
      <c r="S191" s="338"/>
      <c r="T191" s="338"/>
      <c r="U191" s="338"/>
      <c r="V191" s="338"/>
      <c r="W191" s="339"/>
      <c r="X191" s="259" t="s">
        <v>22</v>
      </c>
      <c r="Y191" s="260"/>
      <c r="Z191" s="260"/>
      <c r="AA191" s="123" t="s">
        <v>28</v>
      </c>
      <c r="AB191" s="342">
        <v>2.5</v>
      </c>
      <c r="AC191" s="342"/>
      <c r="AD191" s="342"/>
      <c r="AE191" s="342"/>
      <c r="AF191" s="342"/>
      <c r="AG191" s="342"/>
      <c r="AH191" s="342"/>
      <c r="AI191" s="342"/>
      <c r="AJ191" s="342"/>
      <c r="AK191" s="342"/>
      <c r="AL191" s="342"/>
      <c r="AM191" s="342"/>
      <c r="AN191" s="342"/>
      <c r="AO191" s="342"/>
      <c r="AP191" s="342"/>
      <c r="AQ191" s="342"/>
      <c r="AR191" s="342"/>
      <c r="AS191" s="342"/>
      <c r="AT191" s="138"/>
      <c r="AU191" s="138"/>
      <c r="AV191" s="138"/>
      <c r="AW191" s="138"/>
      <c r="AX191" s="138"/>
      <c r="AY191" s="138"/>
      <c r="AZ191" s="139"/>
      <c r="BA191" s="219">
        <f>AB191</f>
        <v>2.5</v>
      </c>
      <c r="BB191" s="220"/>
      <c r="BC191" s="220"/>
      <c r="BD191" s="220"/>
      <c r="BE191" s="220"/>
      <c r="BF191" s="221" t="s">
        <v>182</v>
      </c>
      <c r="BG191" s="221"/>
      <c r="BH191" s="222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48"/>
    </row>
    <row r="192" spans="1:106" s="117" customFormat="1" ht="12" customHeight="1" x14ac:dyDescent="0.2">
      <c r="A192" s="285" t="s">
        <v>237</v>
      </c>
      <c r="B192" s="286"/>
      <c r="C192" s="286"/>
      <c r="D192" s="286"/>
      <c r="E192" s="286"/>
      <c r="F192" s="286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7"/>
      <c r="X192" s="273" t="s">
        <v>201</v>
      </c>
      <c r="Y192" s="274"/>
      <c r="Z192" s="274"/>
      <c r="AA192" s="46" t="s">
        <v>28</v>
      </c>
      <c r="AB192" s="208">
        <v>0.5</v>
      </c>
      <c r="AC192" s="208"/>
      <c r="AD192" s="208"/>
      <c r="AE192" s="208"/>
      <c r="AF192" s="260" t="s">
        <v>209</v>
      </c>
      <c r="AG192" s="260"/>
      <c r="AH192" s="260"/>
      <c r="AI192" s="180" t="s">
        <v>28</v>
      </c>
      <c r="AJ192" s="207" t="str">
        <f>CONCATENATE(AB191," x ",AB192," = ")</f>
        <v xml:space="preserve">2,5 x 0,5 = </v>
      </c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334"/>
      <c r="BA192" s="219">
        <f>ROUND(BA191*AB192,2)</f>
        <v>1.25</v>
      </c>
      <c r="BB192" s="220"/>
      <c r="BC192" s="220"/>
      <c r="BD192" s="220"/>
      <c r="BE192" s="220"/>
      <c r="BF192" s="221" t="s">
        <v>182</v>
      </c>
      <c r="BG192" s="221"/>
      <c r="BH192" s="222"/>
      <c r="BI192" s="116"/>
      <c r="BJ192" s="187">
        <f>ROUND(BA192*AP190,2)</f>
        <v>5</v>
      </c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48"/>
    </row>
    <row r="193" spans="1:106" s="117" customFormat="1" ht="12" customHeight="1" x14ac:dyDescent="0.2">
      <c r="A193" s="223"/>
      <c r="B193" s="224"/>
      <c r="C193" s="142"/>
      <c r="D193" s="312"/>
      <c r="E193" s="312"/>
      <c r="F193" s="312"/>
      <c r="G193" s="312"/>
      <c r="H193" s="312"/>
      <c r="I193" s="149"/>
      <c r="J193" s="149"/>
      <c r="K193" s="149"/>
      <c r="L193" s="149"/>
      <c r="M193" s="149"/>
      <c r="N193" s="149"/>
      <c r="O193" s="149"/>
      <c r="P193" s="149"/>
      <c r="Q193" s="149"/>
      <c r="R193" s="224"/>
      <c r="S193" s="224"/>
      <c r="T193" s="142"/>
      <c r="U193" s="227"/>
      <c r="V193" s="226"/>
      <c r="W193" s="228"/>
      <c r="X193" s="229" t="s">
        <v>181</v>
      </c>
      <c r="Y193" s="230"/>
      <c r="Z193" s="230"/>
      <c r="AA193" s="126" t="s">
        <v>28</v>
      </c>
      <c r="AB193" s="231" t="str">
        <f>CONCATENATE(BA192," x ",AP190," x ",$AO$17," x ",AP189, " x [1 + 0,5 x (",AW189," - 1)] = ")</f>
        <v xml:space="preserve">1,25 x 4 x 307,7 x 1,1263 x [1 + 0,5 x (1,023 - 1)] = </v>
      </c>
      <c r="AC193" s="231"/>
      <c r="AD193" s="231"/>
      <c r="AE193" s="231"/>
      <c r="AF193" s="231"/>
      <c r="AG193" s="231"/>
      <c r="AH193" s="231"/>
      <c r="AI193" s="231"/>
      <c r="AJ193" s="231"/>
      <c r="AK193" s="231"/>
      <c r="AL193" s="231"/>
      <c r="AM193" s="231"/>
      <c r="AN193" s="231"/>
      <c r="AO193" s="231"/>
      <c r="AP193" s="231"/>
      <c r="AQ193" s="231"/>
      <c r="AR193" s="231"/>
      <c r="AS193" s="231"/>
      <c r="AT193" s="231"/>
      <c r="AU193" s="231"/>
      <c r="AV193" s="231"/>
      <c r="AW193" s="231"/>
      <c r="AX193" s="231"/>
      <c r="AY193" s="231"/>
      <c r="AZ193" s="232"/>
      <c r="BA193" s="233">
        <f>ROUND(BA192*AP190*$AO$17*AP189*(1+0.5*(AW189-1)),2)</f>
        <v>1752.74</v>
      </c>
      <c r="BB193" s="234"/>
      <c r="BC193" s="234"/>
      <c r="BD193" s="234"/>
      <c r="BE193" s="234"/>
      <c r="BF193" s="235" t="s">
        <v>23</v>
      </c>
      <c r="BG193" s="235"/>
      <c r="BH193" s="23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48"/>
    </row>
    <row r="194" spans="1:106" ht="12" customHeight="1" x14ac:dyDescent="0.2">
      <c r="A194" s="167" t="s">
        <v>238</v>
      </c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9"/>
      <c r="AL194" s="169"/>
      <c r="AM194" s="169"/>
      <c r="AN194" s="169"/>
      <c r="AO194" s="169"/>
      <c r="AP194" s="169"/>
      <c r="AQ194" s="170"/>
      <c r="AR194" s="171"/>
      <c r="AS194" s="170"/>
      <c r="AT194" s="170"/>
      <c r="AU194" s="170"/>
      <c r="AV194" s="170"/>
      <c r="AW194" s="333" t="s">
        <v>22</v>
      </c>
      <c r="AX194" s="333"/>
      <c r="AY194" s="333"/>
      <c r="AZ194" s="172" t="s">
        <v>28</v>
      </c>
      <c r="BA194" s="241">
        <f>BJ192+BA182+BA178+BJ174+BA168</f>
        <v>46.1</v>
      </c>
      <c r="BB194" s="241"/>
      <c r="BC194" s="241"/>
      <c r="BD194" s="241"/>
      <c r="BE194" s="241"/>
      <c r="BF194" s="173" t="s">
        <v>182</v>
      </c>
      <c r="BG194" s="173"/>
      <c r="BH194" s="174"/>
    </row>
    <row r="195" spans="1:106" s="117" customFormat="1" ht="12" customHeight="1" x14ac:dyDescent="0.2">
      <c r="A195" s="262" t="s">
        <v>179</v>
      </c>
      <c r="B195" s="263"/>
      <c r="C195" s="263"/>
      <c r="D195" s="263"/>
      <c r="E195" s="263"/>
      <c r="F195" s="263"/>
      <c r="G195" s="263"/>
      <c r="H195" s="263"/>
      <c r="I195" s="263"/>
      <c r="J195" s="263"/>
      <c r="K195" s="263"/>
      <c r="L195" s="263"/>
      <c r="M195" s="263"/>
      <c r="N195" s="263"/>
      <c r="O195" s="263"/>
      <c r="P195" s="263"/>
      <c r="Q195" s="263"/>
      <c r="R195" s="263"/>
      <c r="S195" s="263"/>
      <c r="T195" s="263"/>
      <c r="U195" s="263"/>
      <c r="V195" s="263"/>
      <c r="W195" s="263"/>
      <c r="X195" s="140"/>
      <c r="Y195" s="140"/>
      <c r="Z195" s="140"/>
      <c r="AA195" s="140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4"/>
      <c r="AU195" s="144"/>
      <c r="AV195" s="145"/>
      <c r="AW195" s="264" t="s">
        <v>186</v>
      </c>
      <c r="AX195" s="264"/>
      <c r="AY195" s="264"/>
      <c r="AZ195" s="141" t="s">
        <v>28</v>
      </c>
      <c r="BA195" s="265">
        <f>BA193+BA183+BA179+BA175+BA169</f>
        <v>15264.130000000001</v>
      </c>
      <c r="BB195" s="265"/>
      <c r="BC195" s="265"/>
      <c r="BD195" s="265"/>
      <c r="BE195" s="265"/>
      <c r="BF195" s="266" t="s">
        <v>23</v>
      </c>
      <c r="BG195" s="266"/>
      <c r="BH195" s="267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48"/>
    </row>
    <row r="196" spans="1:106" s="1" customFormat="1" ht="13.5" customHeight="1" x14ac:dyDescent="0.2">
      <c r="A196" s="328" t="str">
        <f>график!A32</f>
        <v>7</v>
      </c>
      <c r="B196" s="329"/>
      <c r="C196" s="330" t="str">
        <f>график!B32</f>
        <v>УСЛУГИ ПО ФИНАНСИРОВАНИЮ СТРОИТЕЛЬСТВА, ФИНАНСОВОМУ КОНТРОЛЮ И УЧЕТУ В СТРОИТЕЛЬСТВЕ</v>
      </c>
      <c r="D196" s="331"/>
      <c r="E196" s="331"/>
      <c r="F196" s="331"/>
      <c r="G196" s="331"/>
      <c r="H196" s="331"/>
      <c r="I196" s="331"/>
      <c r="J196" s="331"/>
      <c r="K196" s="331"/>
      <c r="L196" s="331"/>
      <c r="M196" s="331"/>
      <c r="N196" s="331"/>
      <c r="O196" s="331"/>
      <c r="P196" s="331"/>
      <c r="Q196" s="331"/>
      <c r="R196" s="331"/>
      <c r="S196" s="331"/>
      <c r="T196" s="331"/>
      <c r="U196" s="331"/>
      <c r="V196" s="331"/>
      <c r="W196" s="331"/>
      <c r="X196" s="331"/>
      <c r="Y196" s="331"/>
      <c r="Z196" s="331"/>
      <c r="AA196" s="331"/>
      <c r="AB196" s="331"/>
      <c r="AC196" s="331"/>
      <c r="AD196" s="331"/>
      <c r="AE196" s="331"/>
      <c r="AF196" s="331"/>
      <c r="AG196" s="331"/>
      <c r="AH196" s="331"/>
      <c r="AI196" s="331"/>
      <c r="AJ196" s="331"/>
      <c r="AK196" s="331"/>
      <c r="AL196" s="331"/>
      <c r="AM196" s="331"/>
      <c r="AN196" s="331"/>
      <c r="AO196" s="331"/>
      <c r="AP196" s="331"/>
      <c r="AQ196" s="331"/>
      <c r="AR196" s="331"/>
      <c r="AS196" s="331"/>
      <c r="AT196" s="331"/>
      <c r="AU196" s="331"/>
      <c r="AV196" s="331"/>
      <c r="AW196" s="331"/>
      <c r="AX196" s="331"/>
      <c r="AY196" s="331"/>
      <c r="AZ196" s="331"/>
      <c r="BA196" s="331"/>
      <c r="BB196" s="331"/>
      <c r="BC196" s="331"/>
      <c r="BD196" s="331"/>
      <c r="BE196" s="331"/>
      <c r="BF196" s="331"/>
      <c r="BG196" s="331"/>
      <c r="BH196" s="332"/>
      <c r="BI196" s="116"/>
    </row>
    <row r="197" spans="1:106" s="119" customFormat="1" ht="12" customHeight="1" x14ac:dyDescent="0.2">
      <c r="A197" s="307" t="str">
        <f>график!A33</f>
        <v>7.1</v>
      </c>
      <c r="B197" s="308"/>
      <c r="C197" s="309" t="str">
        <f>график!B33</f>
        <v>обеспечение финансирования строительства, осуществление финансового контроля за строительством и учет затрат заказчика (застройщика)</v>
      </c>
      <c r="D197" s="309"/>
      <c r="E197" s="309"/>
      <c r="F197" s="309"/>
      <c r="G197" s="309"/>
      <c r="H197" s="309"/>
      <c r="I197" s="309"/>
      <c r="J197" s="309"/>
      <c r="K197" s="309"/>
      <c r="L197" s="309"/>
      <c r="M197" s="309"/>
      <c r="N197" s="309"/>
      <c r="O197" s="309"/>
      <c r="P197" s="309"/>
      <c r="Q197" s="309"/>
      <c r="R197" s="309"/>
      <c r="S197" s="309"/>
      <c r="T197" s="309"/>
      <c r="U197" s="309"/>
      <c r="V197" s="309"/>
      <c r="W197" s="309"/>
      <c r="X197" s="309"/>
      <c r="Y197" s="309"/>
      <c r="Z197" s="309"/>
      <c r="AA197" s="309"/>
      <c r="AB197" s="309"/>
      <c r="AC197" s="309"/>
      <c r="AD197" s="309"/>
      <c r="AE197" s="309"/>
      <c r="AF197" s="309"/>
      <c r="AG197" s="309"/>
      <c r="AH197" s="309"/>
      <c r="AI197" s="309"/>
      <c r="AJ197" s="309"/>
      <c r="AK197" s="309"/>
      <c r="AL197" s="309"/>
      <c r="AM197" s="309"/>
      <c r="AN197" s="309"/>
      <c r="AO197" s="309"/>
      <c r="AP197" s="309"/>
      <c r="AQ197" s="309"/>
      <c r="AR197" s="309"/>
      <c r="AS197" s="309"/>
      <c r="AT197" s="309"/>
      <c r="AU197" s="309"/>
      <c r="AV197" s="309"/>
      <c r="AW197" s="309"/>
      <c r="AX197" s="309"/>
      <c r="AY197" s="309"/>
      <c r="AZ197" s="309"/>
      <c r="BA197" s="310" t="s">
        <v>264</v>
      </c>
      <c r="BB197" s="310"/>
      <c r="BC197" s="310"/>
      <c r="BD197" s="310"/>
      <c r="BE197" s="310"/>
      <c r="BF197" s="310"/>
      <c r="BG197" s="310"/>
      <c r="BH197" s="311"/>
      <c r="BI197" s="146"/>
      <c r="BJ197" s="146"/>
      <c r="BK197" s="146"/>
      <c r="BL197" s="146"/>
      <c r="BM197" s="146"/>
      <c r="BN197" s="146"/>
      <c r="BO197" s="146"/>
      <c r="BP197" s="146"/>
      <c r="BQ197" s="146"/>
      <c r="BR197" s="146"/>
      <c r="BS197" s="146"/>
      <c r="BT197" s="146"/>
      <c r="BU197" s="146"/>
      <c r="BV197" s="146"/>
      <c r="BW197" s="146"/>
      <c r="BX197" s="146"/>
      <c r="BY197" s="146"/>
      <c r="BZ197" s="146"/>
      <c r="CA197" s="146"/>
      <c r="CB197" s="146"/>
      <c r="CC197" s="146"/>
      <c r="CD197" s="146"/>
      <c r="CE197" s="146"/>
      <c r="CF197" s="146"/>
      <c r="CG197" s="146"/>
      <c r="CH197" s="146"/>
      <c r="CI197" s="146"/>
      <c r="CJ197" s="146"/>
      <c r="CK197" s="146"/>
      <c r="CL197" s="146"/>
      <c r="CM197" s="146"/>
      <c r="CN197" s="146"/>
      <c r="CO197" s="146"/>
      <c r="CP197" s="146"/>
      <c r="CQ197" s="146"/>
      <c r="CR197" s="146"/>
      <c r="CS197" s="146"/>
      <c r="CT197" s="146"/>
      <c r="CU197" s="146"/>
      <c r="CV197" s="146"/>
      <c r="CW197" s="146"/>
      <c r="CX197" s="146"/>
      <c r="CY197" s="146"/>
      <c r="CZ197" s="146"/>
      <c r="DA197" s="146"/>
      <c r="DB197" s="147"/>
    </row>
    <row r="198" spans="1:106" s="117" customFormat="1" ht="12" customHeight="1" x14ac:dyDescent="0.25">
      <c r="A198" s="237" t="s">
        <v>200</v>
      </c>
      <c r="B198" s="238"/>
      <c r="C198" s="238"/>
      <c r="D198" s="238"/>
      <c r="E198" s="238"/>
      <c r="F198" s="238"/>
      <c r="G198" s="238"/>
      <c r="H198" s="238"/>
      <c r="I198" s="238"/>
      <c r="J198" s="238"/>
      <c r="K198" s="238"/>
      <c r="L198" s="238"/>
      <c r="M198" s="238"/>
      <c r="N198" s="238"/>
      <c r="O198" s="238"/>
      <c r="P198" s="238"/>
      <c r="Q198" s="238"/>
      <c r="R198" s="238"/>
      <c r="S198" s="238"/>
      <c r="T198" s="238"/>
      <c r="U198" s="238"/>
      <c r="V198" s="238"/>
      <c r="W198" s="239"/>
      <c r="X198" s="275" t="s">
        <v>45</v>
      </c>
      <c r="Y198" s="276"/>
      <c r="Z198" s="276"/>
      <c r="AA198" s="276"/>
      <c r="AB198" s="277" t="str">
        <f>график!C33</f>
        <v>сен 2023</v>
      </c>
      <c r="AC198" s="278"/>
      <c r="AD198" s="278"/>
      <c r="AE198" s="278"/>
      <c r="AF198" s="278"/>
      <c r="AG198" s="122" t="s">
        <v>1</v>
      </c>
      <c r="AH198" s="279" t="str">
        <f>график!E33</f>
        <v>янв 2025</v>
      </c>
      <c r="AI198" s="280"/>
      <c r="AJ198" s="280"/>
      <c r="AK198" s="280"/>
      <c r="AL198" s="280"/>
      <c r="AM198" s="211" t="s">
        <v>177</v>
      </c>
      <c r="AN198" s="211"/>
      <c r="AO198" s="120" t="s">
        <v>28</v>
      </c>
      <c r="AP198" s="281">
        <f>график!F33</f>
        <v>1.0170999999999999</v>
      </c>
      <c r="AQ198" s="281"/>
      <c r="AR198" s="281"/>
      <c r="AS198" s="281"/>
      <c r="AT198" s="211" t="s">
        <v>178</v>
      </c>
      <c r="AU198" s="211"/>
      <c r="AV198" s="120" t="s">
        <v>28</v>
      </c>
      <c r="AW198" s="212">
        <f>график!G33</f>
        <v>1.1435</v>
      </c>
      <c r="AX198" s="212"/>
      <c r="AY198" s="212"/>
      <c r="AZ198" s="213"/>
      <c r="BA198" s="214"/>
      <c r="BB198" s="215"/>
      <c r="BC198" s="215"/>
      <c r="BD198" s="215"/>
      <c r="BE198" s="215"/>
      <c r="BF198" s="215"/>
      <c r="BG198" s="215"/>
      <c r="BH198" s="2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48"/>
    </row>
    <row r="199" spans="1:106" s="117" customFormat="1" ht="12" customHeight="1" x14ac:dyDescent="0.2">
      <c r="A199" s="270" t="s">
        <v>198</v>
      </c>
      <c r="B199" s="271"/>
      <c r="C199" s="271"/>
      <c r="D199" s="271"/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  <c r="O199" s="271"/>
      <c r="P199" s="271"/>
      <c r="Q199" s="271"/>
      <c r="R199" s="271"/>
      <c r="S199" s="271"/>
      <c r="T199" s="271"/>
      <c r="U199" s="271"/>
      <c r="V199" s="271"/>
      <c r="W199" s="272"/>
      <c r="X199" s="273" t="s">
        <v>39</v>
      </c>
      <c r="Y199" s="274"/>
      <c r="Z199" s="274"/>
      <c r="AA199" s="46" t="s">
        <v>28</v>
      </c>
      <c r="AB199" s="217">
        <v>3000</v>
      </c>
      <c r="AC199" s="217"/>
      <c r="AD199" s="217"/>
      <c r="AE199" s="217"/>
      <c r="AF199" s="282" t="s">
        <v>40</v>
      </c>
      <c r="AG199" s="274"/>
      <c r="AH199" s="274"/>
      <c r="AI199" s="274"/>
      <c r="AJ199" s="274"/>
      <c r="AK199" s="46" t="s">
        <v>28</v>
      </c>
      <c r="AL199" s="257">
        <v>30</v>
      </c>
      <c r="AM199" s="258"/>
      <c r="AN199" s="258"/>
      <c r="AO199" s="258"/>
      <c r="AP199" s="258"/>
      <c r="AQ199" s="288"/>
      <c r="AR199" s="288"/>
      <c r="AS199" s="209"/>
      <c r="AT199" s="209"/>
      <c r="AU199" s="209"/>
      <c r="AV199" s="127"/>
      <c r="AW199" s="315"/>
      <c r="AX199" s="217"/>
      <c r="AY199" s="217"/>
      <c r="AZ199" s="218"/>
      <c r="BA199" s="219"/>
      <c r="BB199" s="220"/>
      <c r="BC199" s="220"/>
      <c r="BD199" s="220"/>
      <c r="BE199" s="220"/>
      <c r="BF199" s="221"/>
      <c r="BG199" s="221"/>
      <c r="BH199" s="222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48"/>
    </row>
    <row r="200" spans="1:106" s="117" customFormat="1" ht="12" customHeight="1" x14ac:dyDescent="0.2">
      <c r="A200" s="270"/>
      <c r="B200" s="271"/>
      <c r="C200" s="271"/>
      <c r="D200" s="271"/>
      <c r="E200" s="271"/>
      <c r="F200" s="271"/>
      <c r="G200" s="271"/>
      <c r="H200" s="271"/>
      <c r="I200" s="271"/>
      <c r="J200" s="271"/>
      <c r="K200" s="271"/>
      <c r="L200" s="271"/>
      <c r="M200" s="271"/>
      <c r="N200" s="271"/>
      <c r="O200" s="271"/>
      <c r="P200" s="271"/>
      <c r="Q200" s="271"/>
      <c r="R200" s="271"/>
      <c r="S200" s="271"/>
      <c r="T200" s="271"/>
      <c r="U200" s="271"/>
      <c r="V200" s="271"/>
      <c r="W200" s="272"/>
      <c r="X200" s="273" t="s">
        <v>43</v>
      </c>
      <c r="Y200" s="274"/>
      <c r="Z200" s="274"/>
      <c r="AA200" s="46" t="s">
        <v>28</v>
      </c>
      <c r="AB200" s="217">
        <v>4000</v>
      </c>
      <c r="AC200" s="217"/>
      <c r="AD200" s="217"/>
      <c r="AE200" s="217"/>
      <c r="AF200" s="282" t="s">
        <v>44</v>
      </c>
      <c r="AG200" s="274"/>
      <c r="AH200" s="274"/>
      <c r="AI200" s="274"/>
      <c r="AJ200" s="274"/>
      <c r="AK200" s="46" t="s">
        <v>28</v>
      </c>
      <c r="AL200" s="257">
        <v>36</v>
      </c>
      <c r="AM200" s="258"/>
      <c r="AN200" s="258"/>
      <c r="AO200" s="258"/>
      <c r="AP200" s="258"/>
      <c r="AQ200" s="137"/>
      <c r="AR200" s="137"/>
      <c r="AS200" s="137"/>
      <c r="AT200" s="137"/>
      <c r="AU200" s="137"/>
      <c r="AV200" s="137"/>
      <c r="AW200" s="137"/>
      <c r="AX200" s="137"/>
      <c r="AY200" s="137"/>
      <c r="AZ200" s="166"/>
      <c r="BA200" s="219"/>
      <c r="BB200" s="220"/>
      <c r="BC200" s="220"/>
      <c r="BD200" s="220"/>
      <c r="BE200" s="220"/>
      <c r="BF200" s="221"/>
      <c r="BG200" s="221"/>
      <c r="BH200" s="222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48"/>
    </row>
    <row r="201" spans="1:106" s="117" customFormat="1" ht="12" customHeight="1" x14ac:dyDescent="0.2">
      <c r="A201" s="270"/>
      <c r="B201" s="271"/>
      <c r="C201" s="271"/>
      <c r="D201" s="271"/>
      <c r="E201" s="271"/>
      <c r="F201" s="271"/>
      <c r="G201" s="271"/>
      <c r="H201" s="271"/>
      <c r="I201" s="271"/>
      <c r="J201" s="271"/>
      <c r="K201" s="271"/>
      <c r="L201" s="271"/>
      <c r="M201" s="271"/>
      <c r="N201" s="271"/>
      <c r="O201" s="271"/>
      <c r="P201" s="271"/>
      <c r="Q201" s="271"/>
      <c r="R201" s="271"/>
      <c r="S201" s="271"/>
      <c r="T201" s="271"/>
      <c r="U201" s="271"/>
      <c r="V201" s="271"/>
      <c r="W201" s="272"/>
      <c r="X201" s="259" t="s">
        <v>22</v>
      </c>
      <c r="Y201" s="260"/>
      <c r="Z201" s="260"/>
      <c r="AA201" s="123" t="s">
        <v>28</v>
      </c>
      <c r="AB201" s="217" t="str">
        <f>CONCATENATE(AL199," + [(",AL200," - ", AL199,") / (",AB200," - ", AB199,")] x (",D205," - ",AB199,")  = ")</f>
        <v xml:space="preserve">30 + [(36 - 30) / (4000 - 3000)] x (3310 - 3000)  = </v>
      </c>
      <c r="AC201" s="217"/>
      <c r="AD201" s="217"/>
      <c r="AE201" s="217"/>
      <c r="AF201" s="217"/>
      <c r="AG201" s="217"/>
      <c r="AH201" s="217"/>
      <c r="AI201" s="217"/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7"/>
      <c r="AT201" s="217"/>
      <c r="AU201" s="217"/>
      <c r="AV201" s="217"/>
      <c r="AW201" s="217"/>
      <c r="AX201" s="217"/>
      <c r="AY201" s="217"/>
      <c r="AZ201" s="218"/>
      <c r="BA201" s="219">
        <f>ROUND(AL199 + ((AL200-AL199) / (AB200-AB199)) * (D205-AB199),2)</f>
        <v>31.86</v>
      </c>
      <c r="BB201" s="220"/>
      <c r="BC201" s="220"/>
      <c r="BD201" s="220"/>
      <c r="BE201" s="220"/>
      <c r="BF201" s="221" t="s">
        <v>182</v>
      </c>
      <c r="BG201" s="221"/>
      <c r="BH201" s="222"/>
      <c r="BI201" s="116"/>
      <c r="BJ201" s="175" t="s">
        <v>190</v>
      </c>
      <c r="BK201" s="116"/>
      <c r="BL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48"/>
    </row>
    <row r="202" spans="1:106" s="117" customFormat="1" ht="12" customHeight="1" x14ac:dyDescent="0.25">
      <c r="A202" s="285" t="s">
        <v>30</v>
      </c>
      <c r="B202" s="286"/>
      <c r="C202" s="286"/>
      <c r="D202" s="286"/>
      <c r="E202" s="286"/>
      <c r="F202" s="286"/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7"/>
      <c r="X202" s="273" t="s">
        <v>201</v>
      </c>
      <c r="Y202" s="274"/>
      <c r="Z202" s="274"/>
      <c r="AA202" s="46" t="s">
        <v>28</v>
      </c>
      <c r="AB202" s="208">
        <v>1.05</v>
      </c>
      <c r="AC202" s="208"/>
      <c r="AD202" s="208"/>
      <c r="AE202" s="288" t="s">
        <v>203</v>
      </c>
      <c r="AF202" s="288"/>
      <c r="AG202" s="127" t="s">
        <v>28</v>
      </c>
      <c r="AH202" s="207">
        <f>D205</f>
        <v>3310</v>
      </c>
      <c r="AI202" s="207"/>
      <c r="AJ202" s="207"/>
      <c r="AK202" s="282" t="s">
        <v>208</v>
      </c>
      <c r="AL202" s="282"/>
      <c r="AM202" s="46" t="s">
        <v>28</v>
      </c>
      <c r="AN202" s="217" t="str">
        <f>CONCATENATE("1 + (",AB202," - 1) x ",AH202," / ",D205)</f>
        <v>1 + (1,05 - 1) x 3310 / 3310</v>
      </c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7"/>
      <c r="AY202" s="217"/>
      <c r="AZ202" s="139" t="s">
        <v>28</v>
      </c>
      <c r="BA202" s="289">
        <f>ROUND(1 + (AB202 - 1) *(AH202 / D205),2)</f>
        <v>1.05</v>
      </c>
      <c r="BB202" s="290"/>
      <c r="BC202" s="290"/>
      <c r="BD202" s="290"/>
      <c r="BE202" s="290"/>
      <c r="BF202" s="129"/>
      <c r="BG202" s="129"/>
      <c r="BH202" s="130"/>
      <c r="BI202" s="116"/>
      <c r="BJ202" s="116"/>
      <c r="BK202" s="116"/>
      <c r="BL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48"/>
    </row>
    <row r="203" spans="1:106" s="117" customFormat="1" ht="12" customHeight="1" x14ac:dyDescent="0.25">
      <c r="A203" s="285" t="s">
        <v>204</v>
      </c>
      <c r="B203" s="286"/>
      <c r="C203" s="286"/>
      <c r="D203" s="286"/>
      <c r="E203" s="286"/>
      <c r="F203" s="286"/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7"/>
      <c r="X203" s="273" t="s">
        <v>202</v>
      </c>
      <c r="Y203" s="274"/>
      <c r="Z203" s="274"/>
      <c r="AA203" s="46" t="s">
        <v>28</v>
      </c>
      <c r="AB203" s="208">
        <v>2.19</v>
      </c>
      <c r="AC203" s="208"/>
      <c r="AD203" s="208"/>
      <c r="AE203" s="288" t="s">
        <v>203</v>
      </c>
      <c r="AF203" s="288"/>
      <c r="AG203" s="127" t="s">
        <v>28</v>
      </c>
      <c r="AH203" s="207">
        <v>180</v>
      </c>
      <c r="AI203" s="207"/>
      <c r="AJ203" s="207"/>
      <c r="AK203" s="282" t="s">
        <v>208</v>
      </c>
      <c r="AL203" s="282"/>
      <c r="AM203" s="46" t="s">
        <v>28</v>
      </c>
      <c r="AN203" s="217" t="str">
        <f>CONCATENATE("1 + (1 - ",AB203,") x ",AH203," / ",D205)</f>
        <v>1 + (1 - 2,19) x 180 / 3310</v>
      </c>
      <c r="AO203" s="217"/>
      <c r="AP203" s="217"/>
      <c r="AQ203" s="217"/>
      <c r="AR203" s="217"/>
      <c r="AS203" s="217"/>
      <c r="AT203" s="217"/>
      <c r="AU203" s="217"/>
      <c r="AV203" s="217"/>
      <c r="AW203" s="217"/>
      <c r="AX203" s="217"/>
      <c r="AY203" s="217"/>
      <c r="AZ203" s="139" t="s">
        <v>28</v>
      </c>
      <c r="BA203" s="289">
        <f>ROUND(1 + (AB203 - 1) *(AH203 / D205),2)</f>
        <v>1.06</v>
      </c>
      <c r="BB203" s="290"/>
      <c r="BC203" s="290"/>
      <c r="BD203" s="290"/>
      <c r="BE203" s="290"/>
      <c r="BF203" s="129"/>
      <c r="BG203" s="129"/>
      <c r="BH203" s="130"/>
      <c r="BI203" s="116"/>
      <c r="BJ203" s="183">
        <f>(1+(BA202-1)+(BA203-1))</f>
        <v>1.1100000000000001</v>
      </c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48"/>
    </row>
    <row r="204" spans="1:106" s="117" customFormat="1" ht="12" customHeight="1" x14ac:dyDescent="0.2">
      <c r="A204" s="160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2"/>
      <c r="X204" s="326" t="s">
        <v>209</v>
      </c>
      <c r="Y204" s="327"/>
      <c r="Z204" s="327"/>
      <c r="AA204" s="123" t="s">
        <v>28</v>
      </c>
      <c r="AB204" s="217" t="str">
        <f>CONCATENATE(BA201," x [1 + (",BA202," - 1) + (",BA203," - 1)] = ",BA201," x ",BJ203," = ")</f>
        <v xml:space="preserve">31,86 x [1 + (1,05 - 1) + (1,06 - 1)] = 31,86 x 1,11 = </v>
      </c>
      <c r="AC204" s="217"/>
      <c r="AD204" s="217"/>
      <c r="AE204" s="217"/>
      <c r="AF204" s="217"/>
      <c r="AG204" s="217"/>
      <c r="AH204" s="217"/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  <c r="AU204" s="217"/>
      <c r="AV204" s="217"/>
      <c r="AW204" s="217"/>
      <c r="AX204" s="217"/>
      <c r="AY204" s="217"/>
      <c r="AZ204" s="218"/>
      <c r="BA204" s="219">
        <f>ROUND(BA201*BJ203,2)</f>
        <v>35.36</v>
      </c>
      <c r="BB204" s="220"/>
      <c r="BC204" s="220"/>
      <c r="BD204" s="220"/>
      <c r="BE204" s="220"/>
      <c r="BF204" s="221" t="s">
        <v>182</v>
      </c>
      <c r="BG204" s="221"/>
      <c r="BH204" s="222"/>
      <c r="BI204" s="116"/>
      <c r="BJ204" s="175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48"/>
    </row>
    <row r="205" spans="1:106" s="117" customFormat="1" ht="12" customHeight="1" x14ac:dyDescent="0.25">
      <c r="A205" s="223" t="s">
        <v>189</v>
      </c>
      <c r="B205" s="224"/>
      <c r="C205" s="142" t="s">
        <v>28</v>
      </c>
      <c r="D205" s="312">
        <f>$D$57</f>
        <v>3310</v>
      </c>
      <c r="E205" s="312"/>
      <c r="F205" s="312"/>
      <c r="G205" s="312"/>
      <c r="H205" s="312"/>
      <c r="I205" s="149"/>
      <c r="J205" s="149"/>
      <c r="K205" s="149"/>
      <c r="L205" s="149"/>
      <c r="M205" s="149"/>
      <c r="N205" s="149"/>
      <c r="O205" s="149"/>
      <c r="P205" s="149"/>
      <c r="Q205" s="149"/>
      <c r="R205" s="224"/>
      <c r="S205" s="224"/>
      <c r="T205" s="142"/>
      <c r="U205" s="227"/>
      <c r="V205" s="226"/>
      <c r="W205" s="228"/>
      <c r="X205" s="313" t="s">
        <v>181</v>
      </c>
      <c r="Y205" s="314"/>
      <c r="Z205" s="314"/>
      <c r="AA205" s="126" t="s">
        <v>28</v>
      </c>
      <c r="AB205" s="231" t="str">
        <f>CONCATENATE(BA204," x ",$AO$17," x ", AP198," x [1 + 0,5 x (",AW198," - 1)]  = ")</f>
        <v xml:space="preserve">35,36 x 307,7 x 1,0171 x [1 + 0,5 x (1,1435 - 1)]  = </v>
      </c>
      <c r="AC205" s="231"/>
      <c r="AD205" s="231"/>
      <c r="AE205" s="231"/>
      <c r="AF205" s="231"/>
      <c r="AG205" s="231"/>
      <c r="AH205" s="231"/>
      <c r="AI205" s="231"/>
      <c r="AJ205" s="231"/>
      <c r="AK205" s="231"/>
      <c r="AL205" s="231"/>
      <c r="AM205" s="231"/>
      <c r="AN205" s="231"/>
      <c r="AO205" s="231"/>
      <c r="AP205" s="231"/>
      <c r="AQ205" s="231"/>
      <c r="AR205" s="231"/>
      <c r="AS205" s="231"/>
      <c r="AT205" s="231"/>
      <c r="AU205" s="231"/>
      <c r="AV205" s="231"/>
      <c r="AW205" s="231"/>
      <c r="AX205" s="231"/>
      <c r="AY205" s="231"/>
      <c r="AZ205" s="232"/>
      <c r="BA205" s="233">
        <f>ROUND(BA204*$AO$17*AP198*(1+0.5*(AW198-1)),2)</f>
        <v>11860.33</v>
      </c>
      <c r="BB205" s="234"/>
      <c r="BC205" s="234"/>
      <c r="BD205" s="234"/>
      <c r="BE205" s="234"/>
      <c r="BF205" s="235" t="s">
        <v>23</v>
      </c>
      <c r="BG205" s="235"/>
      <c r="BH205" s="23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48"/>
    </row>
    <row r="206" spans="1:106" s="117" customFormat="1" ht="12" customHeight="1" x14ac:dyDescent="0.25">
      <c r="A206" s="291" t="s">
        <v>246</v>
      </c>
      <c r="B206" s="292"/>
      <c r="C206" s="292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3"/>
      <c r="X206" s="294" t="s">
        <v>45</v>
      </c>
      <c r="Y206" s="295"/>
      <c r="Z206" s="295"/>
      <c r="AA206" s="295"/>
      <c r="AB206" s="296" t="str">
        <f>график!C33</f>
        <v>сен 2023</v>
      </c>
      <c r="AC206" s="297"/>
      <c r="AD206" s="297"/>
      <c r="AE206" s="297"/>
      <c r="AF206" s="297"/>
      <c r="AG206" s="203" t="s">
        <v>1</v>
      </c>
      <c r="AH206" s="298" t="str">
        <f>график!E33</f>
        <v>янв 2025</v>
      </c>
      <c r="AI206" s="299"/>
      <c r="AJ206" s="299"/>
      <c r="AK206" s="299"/>
      <c r="AL206" s="299"/>
      <c r="AM206" s="300" t="s">
        <v>177</v>
      </c>
      <c r="AN206" s="300"/>
      <c r="AO206" s="204" t="s">
        <v>28</v>
      </c>
      <c r="AP206" s="301">
        <f>график!F33</f>
        <v>1.0170999999999999</v>
      </c>
      <c r="AQ206" s="301"/>
      <c r="AR206" s="301"/>
      <c r="AS206" s="301"/>
      <c r="AT206" s="300" t="s">
        <v>178</v>
      </c>
      <c r="AU206" s="300"/>
      <c r="AV206" s="204" t="s">
        <v>28</v>
      </c>
      <c r="AW206" s="302">
        <f>график!G33</f>
        <v>1.1435</v>
      </c>
      <c r="AX206" s="302"/>
      <c r="AY206" s="302"/>
      <c r="AZ206" s="303"/>
      <c r="BA206" s="304"/>
      <c r="BB206" s="305"/>
      <c r="BC206" s="305"/>
      <c r="BD206" s="305"/>
      <c r="BE206" s="305"/>
      <c r="BF206" s="305"/>
      <c r="BG206" s="305"/>
      <c r="BH206" s="30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48"/>
    </row>
    <row r="207" spans="1:106" s="117" customFormat="1" ht="12" customHeight="1" x14ac:dyDescent="0.2">
      <c r="A207" s="270" t="s">
        <v>245</v>
      </c>
      <c r="B207" s="271"/>
      <c r="C207" s="271"/>
      <c r="D207" s="271"/>
      <c r="E207" s="271"/>
      <c r="F207" s="271"/>
      <c r="G207" s="271"/>
      <c r="H207" s="271"/>
      <c r="I207" s="271"/>
      <c r="J207" s="271"/>
      <c r="K207" s="271"/>
      <c r="L207" s="271"/>
      <c r="M207" s="271"/>
      <c r="N207" s="271"/>
      <c r="O207" s="271"/>
      <c r="P207" s="271"/>
      <c r="Q207" s="271"/>
      <c r="R207" s="271"/>
      <c r="S207" s="271"/>
      <c r="T207" s="271"/>
      <c r="U207" s="271"/>
      <c r="V207" s="271"/>
      <c r="W207" s="272"/>
      <c r="X207" s="273" t="s">
        <v>39</v>
      </c>
      <c r="Y207" s="274"/>
      <c r="Z207" s="274"/>
      <c r="AA207" s="46" t="s">
        <v>28</v>
      </c>
      <c r="AB207" s="217">
        <v>100</v>
      </c>
      <c r="AC207" s="217"/>
      <c r="AD207" s="217"/>
      <c r="AE207" s="217"/>
      <c r="AF207" s="282" t="s">
        <v>40</v>
      </c>
      <c r="AG207" s="274"/>
      <c r="AH207" s="274"/>
      <c r="AI207" s="274"/>
      <c r="AJ207" s="274"/>
      <c r="AK207" s="46" t="s">
        <v>28</v>
      </c>
      <c r="AL207" s="283">
        <v>0.59</v>
      </c>
      <c r="AM207" s="284"/>
      <c r="AN207" s="284"/>
      <c r="AO207" s="284"/>
      <c r="AP207" s="284"/>
      <c r="AQ207" s="288"/>
      <c r="AR207" s="288"/>
      <c r="AS207" s="209"/>
      <c r="AT207" s="209"/>
      <c r="AU207" s="209"/>
      <c r="AV207" s="127"/>
      <c r="AW207" s="315"/>
      <c r="AX207" s="217"/>
      <c r="AY207" s="217"/>
      <c r="AZ207" s="218"/>
      <c r="BA207" s="219"/>
      <c r="BB207" s="220"/>
      <c r="BC207" s="220"/>
      <c r="BD207" s="220"/>
      <c r="BE207" s="220"/>
      <c r="BF207" s="221"/>
      <c r="BG207" s="221"/>
      <c r="BH207" s="222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48"/>
    </row>
    <row r="208" spans="1:106" s="117" customFormat="1" ht="12" customHeight="1" x14ac:dyDescent="0.2">
      <c r="A208" s="270"/>
      <c r="B208" s="271"/>
      <c r="C208" s="271"/>
      <c r="D208" s="271"/>
      <c r="E208" s="271"/>
      <c r="F208" s="271"/>
      <c r="G208" s="271"/>
      <c r="H208" s="271"/>
      <c r="I208" s="271"/>
      <c r="J208" s="271"/>
      <c r="K208" s="271"/>
      <c r="L208" s="271"/>
      <c r="M208" s="271"/>
      <c r="N208" s="271"/>
      <c r="O208" s="271"/>
      <c r="P208" s="271"/>
      <c r="Q208" s="271"/>
      <c r="R208" s="271"/>
      <c r="S208" s="271"/>
      <c r="T208" s="271"/>
      <c r="U208" s="271"/>
      <c r="V208" s="271"/>
      <c r="W208" s="272"/>
      <c r="X208" s="273" t="s">
        <v>43</v>
      </c>
      <c r="Y208" s="274"/>
      <c r="Z208" s="274"/>
      <c r="AA208" s="46" t="s">
        <v>28</v>
      </c>
      <c r="AB208" s="217">
        <v>300</v>
      </c>
      <c r="AC208" s="217"/>
      <c r="AD208" s="217"/>
      <c r="AE208" s="217"/>
      <c r="AF208" s="282" t="s">
        <v>44</v>
      </c>
      <c r="AG208" s="274"/>
      <c r="AH208" s="274"/>
      <c r="AI208" s="274"/>
      <c r="AJ208" s="274"/>
      <c r="AK208" s="46" t="s">
        <v>28</v>
      </c>
      <c r="AL208" s="283">
        <v>1.37</v>
      </c>
      <c r="AM208" s="284"/>
      <c r="AN208" s="284"/>
      <c r="AO208" s="284"/>
      <c r="AP208" s="284"/>
      <c r="AQ208" s="137"/>
      <c r="AR208" s="137"/>
      <c r="AS208" s="137"/>
      <c r="AT208" s="137"/>
      <c r="AU208" s="137"/>
      <c r="AV208" s="137"/>
      <c r="AW208" s="137"/>
      <c r="AX208" s="137"/>
      <c r="AY208" s="137"/>
      <c r="AZ208" s="166"/>
      <c r="BA208" s="219"/>
      <c r="BB208" s="220"/>
      <c r="BC208" s="220"/>
      <c r="BD208" s="220"/>
      <c r="BE208" s="220"/>
      <c r="BF208" s="221"/>
      <c r="BG208" s="221"/>
      <c r="BH208" s="222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  <c r="CJ208" s="116"/>
      <c r="CK208" s="116"/>
      <c r="CL208" s="116"/>
      <c r="CM208" s="116"/>
      <c r="CN208" s="116"/>
      <c r="CO208" s="116"/>
      <c r="CP208" s="116"/>
      <c r="CQ208" s="116"/>
      <c r="CR208" s="116"/>
      <c r="CS208" s="116"/>
      <c r="CT208" s="116"/>
      <c r="CU208" s="116"/>
      <c r="CV208" s="116"/>
      <c r="CW208" s="116"/>
      <c r="CX208" s="116"/>
      <c r="CY208" s="116"/>
      <c r="CZ208" s="116"/>
      <c r="DA208" s="116"/>
      <c r="DB208" s="148"/>
    </row>
    <row r="209" spans="1:106" s="117" customFormat="1" ht="12" customHeight="1" x14ac:dyDescent="0.2">
      <c r="A209" s="270"/>
      <c r="B209" s="271"/>
      <c r="C209" s="271"/>
      <c r="D209" s="271"/>
      <c r="E209" s="271"/>
      <c r="F209" s="271"/>
      <c r="G209" s="271"/>
      <c r="H209" s="271"/>
      <c r="I209" s="271"/>
      <c r="J209" s="271"/>
      <c r="K209" s="271"/>
      <c r="L209" s="271"/>
      <c r="M209" s="271"/>
      <c r="N209" s="271"/>
      <c r="O209" s="271"/>
      <c r="P209" s="271"/>
      <c r="Q209" s="271"/>
      <c r="R209" s="271"/>
      <c r="S209" s="271"/>
      <c r="T209" s="271"/>
      <c r="U209" s="271"/>
      <c r="V209" s="271"/>
      <c r="W209" s="272"/>
      <c r="X209" s="259" t="s">
        <v>22</v>
      </c>
      <c r="Y209" s="260"/>
      <c r="Z209" s="260"/>
      <c r="AA209" s="123" t="s">
        <v>28</v>
      </c>
      <c r="AB209" s="217" t="str">
        <f>CONCATENATE(AL207," + [(",AL208," - ", AL207,") / (",AB208," - ", AB207,")] x (",D213," - ",AB207,")  = ")</f>
        <v xml:space="preserve">0,59 + [(1,37 - 0,59) / (300 - 100)] x (107 - 100)  = </v>
      </c>
      <c r="AC209" s="217"/>
      <c r="AD209" s="217"/>
      <c r="AE209" s="21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8"/>
      <c r="BA209" s="219">
        <f>ROUND(AL207 + ((AL208-AL207) / (AB208-AB207)) * (D213-AB207),2)</f>
        <v>0.62</v>
      </c>
      <c r="BB209" s="220"/>
      <c r="BC209" s="220"/>
      <c r="BD209" s="220"/>
      <c r="BE209" s="220"/>
      <c r="BF209" s="221" t="s">
        <v>182</v>
      </c>
      <c r="BG209" s="221"/>
      <c r="BH209" s="222"/>
      <c r="BI209" s="116"/>
      <c r="BJ209" s="175" t="s">
        <v>190</v>
      </c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  <c r="CJ209" s="116"/>
      <c r="CK209" s="116"/>
      <c r="CL209" s="116"/>
      <c r="CM209" s="116"/>
      <c r="CN209" s="116"/>
      <c r="CO209" s="116"/>
      <c r="CP209" s="116"/>
      <c r="CQ209" s="116"/>
      <c r="CR209" s="116"/>
      <c r="CS209" s="116"/>
      <c r="CT209" s="116"/>
      <c r="CU209" s="116"/>
      <c r="CV209" s="116"/>
      <c r="CW209" s="116"/>
      <c r="CX209" s="116"/>
      <c r="CY209" s="116"/>
      <c r="CZ209" s="116"/>
      <c r="DA209" s="116"/>
      <c r="DB209" s="148"/>
    </row>
    <row r="210" spans="1:106" s="117" customFormat="1" ht="12" customHeight="1" x14ac:dyDescent="0.25">
      <c r="A210" s="285" t="s">
        <v>248</v>
      </c>
      <c r="B210" s="286"/>
      <c r="C210" s="286"/>
      <c r="D210" s="286"/>
      <c r="E210" s="286"/>
      <c r="F210" s="286"/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7"/>
      <c r="X210" s="273" t="s">
        <v>249</v>
      </c>
      <c r="Y210" s="274"/>
      <c r="Z210" s="274"/>
      <c r="AA210" s="46" t="s">
        <v>28</v>
      </c>
      <c r="AB210" s="208">
        <v>1.1000000000000001</v>
      </c>
      <c r="AC210" s="208"/>
      <c r="AD210" s="208"/>
      <c r="AE210" s="288" t="s">
        <v>203</v>
      </c>
      <c r="AF210" s="288"/>
      <c r="AG210" s="127" t="s">
        <v>28</v>
      </c>
      <c r="AH210" s="207">
        <v>60</v>
      </c>
      <c r="AI210" s="207"/>
      <c r="AJ210" s="207"/>
      <c r="AK210" s="282" t="s">
        <v>208</v>
      </c>
      <c r="AL210" s="282"/>
      <c r="AM210" s="46" t="s">
        <v>28</v>
      </c>
      <c r="AN210" s="217" t="str">
        <f>CONCATENATE("1 + (",AB210," - 1) x ",AH210," / ",D213)</f>
        <v>1 + (1,1 - 1) x 60 / 107</v>
      </c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139" t="s">
        <v>28</v>
      </c>
      <c r="BA210" s="289">
        <f>ROUND(1 + (AB210 - 1) *(AH210 / D213),2)</f>
        <v>1.06</v>
      </c>
      <c r="BB210" s="290"/>
      <c r="BC210" s="290"/>
      <c r="BD210" s="290"/>
      <c r="BE210" s="290"/>
      <c r="BF210" s="129"/>
      <c r="BG210" s="129"/>
      <c r="BH210" s="130"/>
      <c r="BI210" s="116"/>
      <c r="BJ210" s="116"/>
      <c r="BK210" s="116"/>
      <c r="BL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  <c r="CJ210" s="116"/>
      <c r="CK210" s="116"/>
      <c r="CL210" s="116"/>
      <c r="CM210" s="116"/>
      <c r="CN210" s="116"/>
      <c r="CO210" s="116"/>
      <c r="CP210" s="116"/>
      <c r="CQ210" s="116"/>
      <c r="CR210" s="116"/>
      <c r="CS210" s="116"/>
      <c r="CT210" s="116"/>
      <c r="CU210" s="116"/>
      <c r="CV210" s="116"/>
      <c r="CW210" s="116"/>
      <c r="CX210" s="116"/>
      <c r="CY210" s="116"/>
      <c r="CZ210" s="116"/>
      <c r="DA210" s="116"/>
      <c r="DB210" s="148"/>
    </row>
    <row r="211" spans="1:106" s="117" customFormat="1" ht="12" customHeight="1" x14ac:dyDescent="0.25">
      <c r="A211" s="285" t="s">
        <v>247</v>
      </c>
      <c r="B211" s="286"/>
      <c r="C211" s="286"/>
      <c r="D211" s="286"/>
      <c r="E211" s="286"/>
      <c r="F211" s="286"/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7"/>
      <c r="X211" s="273" t="s">
        <v>202</v>
      </c>
      <c r="Y211" s="274"/>
      <c r="Z211" s="274"/>
      <c r="AA211" s="46" t="s">
        <v>28</v>
      </c>
      <c r="AB211" s="208">
        <v>1.2</v>
      </c>
      <c r="AC211" s="208"/>
      <c r="AD211" s="208"/>
      <c r="AE211" s="288" t="s">
        <v>203</v>
      </c>
      <c r="AF211" s="288"/>
      <c r="AG211" s="127" t="s">
        <v>28</v>
      </c>
      <c r="AH211" s="207">
        <v>100</v>
      </c>
      <c r="AI211" s="207"/>
      <c r="AJ211" s="207"/>
      <c r="AK211" s="282" t="s">
        <v>208</v>
      </c>
      <c r="AL211" s="282"/>
      <c r="AM211" s="46" t="s">
        <v>28</v>
      </c>
      <c r="AN211" s="217" t="str">
        <f>CONCATENATE("1 + (1 - ",AB211,") x ",AH211," / ",D213)</f>
        <v>1 + (1 - 1,2) x 100 / 107</v>
      </c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  <c r="AZ211" s="139" t="s">
        <v>28</v>
      </c>
      <c r="BA211" s="289">
        <f>ROUND(1 + (AB211 - 1) *(AH211 / D213),2)</f>
        <v>1.19</v>
      </c>
      <c r="BB211" s="290"/>
      <c r="BC211" s="290"/>
      <c r="BD211" s="290"/>
      <c r="BE211" s="290"/>
      <c r="BF211" s="129"/>
      <c r="BG211" s="129"/>
      <c r="BH211" s="130"/>
      <c r="BI211" s="116"/>
      <c r="BJ211" s="183">
        <f>(1+(BA210-1)+(BA211-1))</f>
        <v>1.25</v>
      </c>
      <c r="BK211" s="116"/>
      <c r="BL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  <c r="CJ211" s="116"/>
      <c r="CK211" s="116"/>
      <c r="CL211" s="116"/>
      <c r="CM211" s="116"/>
      <c r="CN211" s="116"/>
      <c r="CO211" s="116"/>
      <c r="CP211" s="116"/>
      <c r="CQ211" s="116"/>
      <c r="CR211" s="116"/>
      <c r="CS211" s="116"/>
      <c r="CT211" s="116"/>
      <c r="CU211" s="116"/>
      <c r="CV211" s="116"/>
      <c r="CW211" s="116"/>
      <c r="CX211" s="116"/>
      <c r="CY211" s="116"/>
      <c r="CZ211" s="116"/>
      <c r="DA211" s="116"/>
      <c r="DB211" s="148"/>
    </row>
    <row r="212" spans="1:106" s="117" customFormat="1" ht="12" customHeight="1" x14ac:dyDescent="0.2">
      <c r="A212" s="160"/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2"/>
      <c r="X212" s="259" t="s">
        <v>209</v>
      </c>
      <c r="Y212" s="260"/>
      <c r="Z212" s="260"/>
      <c r="AA212" s="123" t="s">
        <v>28</v>
      </c>
      <c r="AB212" s="217" t="str">
        <f>CONCATENATE(BA209," x [1 + (",BA210," - 1) + (",BA211," - 1)] = ",BA209," x ",BJ211," = ")</f>
        <v xml:space="preserve">0,62 x [1 + (1,06 - 1) + (1,19 - 1)] = 0,62 x 1,25 = </v>
      </c>
      <c r="AC212" s="217"/>
      <c r="AD212" s="217"/>
      <c r="AE212" s="21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8"/>
      <c r="BA212" s="219">
        <f>ROUND(BA209*BJ211,2)</f>
        <v>0.78</v>
      </c>
      <c r="BB212" s="220"/>
      <c r="BC212" s="220"/>
      <c r="BD212" s="220"/>
      <c r="BE212" s="220"/>
      <c r="BF212" s="221" t="s">
        <v>182</v>
      </c>
      <c r="BG212" s="221"/>
      <c r="BH212" s="222"/>
      <c r="BI212" s="116"/>
      <c r="BJ212" s="175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  <c r="CJ212" s="116"/>
      <c r="CK212" s="116"/>
      <c r="CL212" s="116"/>
      <c r="CM212" s="116"/>
      <c r="CN212" s="116"/>
      <c r="CO212" s="116"/>
      <c r="CP212" s="116"/>
      <c r="CQ212" s="116"/>
      <c r="CR212" s="116"/>
      <c r="CS212" s="116"/>
      <c r="CT212" s="116"/>
      <c r="CU212" s="116"/>
      <c r="CV212" s="116"/>
      <c r="CW212" s="116"/>
      <c r="CX212" s="116"/>
      <c r="CY212" s="116"/>
      <c r="CZ212" s="116"/>
      <c r="DA212" s="116"/>
      <c r="DB212" s="148"/>
    </row>
    <row r="213" spans="1:106" s="117" customFormat="1" ht="12" customHeight="1" x14ac:dyDescent="0.25">
      <c r="A213" s="223" t="s">
        <v>189</v>
      </c>
      <c r="B213" s="224"/>
      <c r="C213" s="142" t="s">
        <v>28</v>
      </c>
      <c r="D213" s="225">
        <v>107</v>
      </c>
      <c r="E213" s="225"/>
      <c r="F213" s="225"/>
      <c r="G213" s="225"/>
      <c r="H213" s="225"/>
      <c r="I213" s="226" t="s">
        <v>254</v>
      </c>
      <c r="J213" s="226"/>
      <c r="K213" s="226"/>
      <c r="L213" s="226"/>
      <c r="M213" s="226"/>
      <c r="N213" s="226"/>
      <c r="O213" s="149"/>
      <c r="P213" s="149"/>
      <c r="Q213" s="149"/>
      <c r="R213" s="224"/>
      <c r="S213" s="224"/>
      <c r="T213" s="142"/>
      <c r="U213" s="227"/>
      <c r="V213" s="226"/>
      <c r="W213" s="228"/>
      <c r="X213" s="229" t="s">
        <v>181</v>
      </c>
      <c r="Y213" s="230"/>
      <c r="Z213" s="230"/>
      <c r="AA213" s="126" t="s">
        <v>28</v>
      </c>
      <c r="AB213" s="231" t="str">
        <f>CONCATENATE(BA212," x ",$AO$17," x ", AP206," x [1 + 0,5 x (",AW206," - 1)]  = ")</f>
        <v xml:space="preserve">0,78 x 307,7 x 1,0171 x [1 + 0,5 x (1,1435 - 1)]  = </v>
      </c>
      <c r="AC213" s="231"/>
      <c r="AD213" s="231"/>
      <c r="AE213" s="231"/>
      <c r="AF213" s="231"/>
      <c r="AG213" s="231"/>
      <c r="AH213" s="231"/>
      <c r="AI213" s="231"/>
      <c r="AJ213" s="231"/>
      <c r="AK213" s="231"/>
      <c r="AL213" s="231"/>
      <c r="AM213" s="231"/>
      <c r="AN213" s="231"/>
      <c r="AO213" s="231"/>
      <c r="AP213" s="231"/>
      <c r="AQ213" s="231"/>
      <c r="AR213" s="231"/>
      <c r="AS213" s="231"/>
      <c r="AT213" s="231"/>
      <c r="AU213" s="231"/>
      <c r="AV213" s="231"/>
      <c r="AW213" s="231"/>
      <c r="AX213" s="231"/>
      <c r="AY213" s="231"/>
      <c r="AZ213" s="232"/>
      <c r="BA213" s="233">
        <f>ROUND(BA212*$AO$17*AP206*(1+0.5*(AW206-1)),2)</f>
        <v>261.63</v>
      </c>
      <c r="BB213" s="234"/>
      <c r="BC213" s="234"/>
      <c r="BD213" s="234"/>
      <c r="BE213" s="234"/>
      <c r="BF213" s="235" t="s">
        <v>23</v>
      </c>
      <c r="BG213" s="235"/>
      <c r="BH213" s="23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  <c r="CJ213" s="116"/>
      <c r="CK213" s="116"/>
      <c r="CL213" s="116"/>
      <c r="CM213" s="116"/>
      <c r="CN213" s="116"/>
      <c r="CO213" s="116"/>
      <c r="CP213" s="116"/>
      <c r="CQ213" s="116"/>
      <c r="CR213" s="116"/>
      <c r="CS213" s="116"/>
      <c r="CT213" s="116"/>
      <c r="CU213" s="116"/>
      <c r="CV213" s="116"/>
      <c r="CW213" s="116"/>
      <c r="CX213" s="116"/>
      <c r="CY213" s="116"/>
      <c r="CZ213" s="116"/>
      <c r="DA213" s="116"/>
      <c r="DB213" s="148"/>
    </row>
    <row r="214" spans="1:106" s="117" customFormat="1" ht="12" customHeight="1" x14ac:dyDescent="0.25">
      <c r="A214" s="237" t="s">
        <v>259</v>
      </c>
      <c r="B214" s="238"/>
      <c r="C214" s="238"/>
      <c r="D214" s="238"/>
      <c r="E214" s="238"/>
      <c r="F214" s="238"/>
      <c r="G214" s="238"/>
      <c r="H214" s="238"/>
      <c r="I214" s="238"/>
      <c r="J214" s="238"/>
      <c r="K214" s="238"/>
      <c r="L214" s="238"/>
      <c r="M214" s="238"/>
      <c r="N214" s="238"/>
      <c r="O214" s="238"/>
      <c r="P214" s="238"/>
      <c r="Q214" s="238"/>
      <c r="R214" s="238"/>
      <c r="S214" s="238"/>
      <c r="T214" s="238"/>
      <c r="U214" s="238"/>
      <c r="V214" s="238"/>
      <c r="W214" s="239"/>
      <c r="X214" s="275" t="s">
        <v>45</v>
      </c>
      <c r="Y214" s="276"/>
      <c r="Z214" s="276"/>
      <c r="AA214" s="276"/>
      <c r="AB214" s="277" t="str">
        <f>график!C33</f>
        <v>сен 2023</v>
      </c>
      <c r="AC214" s="278"/>
      <c r="AD214" s="278"/>
      <c r="AE214" s="278"/>
      <c r="AF214" s="278"/>
      <c r="AG214" s="122" t="s">
        <v>1</v>
      </c>
      <c r="AH214" s="279" t="str">
        <f>график!E33</f>
        <v>янв 2025</v>
      </c>
      <c r="AI214" s="280"/>
      <c r="AJ214" s="280"/>
      <c r="AK214" s="280"/>
      <c r="AL214" s="280"/>
      <c r="AM214" s="211" t="s">
        <v>177</v>
      </c>
      <c r="AN214" s="211"/>
      <c r="AO214" s="120" t="s">
        <v>28</v>
      </c>
      <c r="AP214" s="281">
        <f>график!F33</f>
        <v>1.0170999999999999</v>
      </c>
      <c r="AQ214" s="281"/>
      <c r="AR214" s="281"/>
      <c r="AS214" s="281"/>
      <c r="AT214" s="211" t="s">
        <v>178</v>
      </c>
      <c r="AU214" s="211"/>
      <c r="AV214" s="120" t="s">
        <v>28</v>
      </c>
      <c r="AW214" s="212">
        <f>график!G33</f>
        <v>1.1435</v>
      </c>
      <c r="AX214" s="212"/>
      <c r="AY214" s="212"/>
      <c r="AZ214" s="213"/>
      <c r="BA214" s="214"/>
      <c r="BB214" s="215"/>
      <c r="BC214" s="215"/>
      <c r="BD214" s="215"/>
      <c r="BE214" s="215"/>
      <c r="BF214" s="215"/>
      <c r="BG214" s="215"/>
      <c r="BH214" s="2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  <c r="CJ214" s="116"/>
      <c r="CK214" s="116"/>
      <c r="CL214" s="116"/>
      <c r="CM214" s="116"/>
      <c r="CN214" s="116"/>
      <c r="CO214" s="116"/>
      <c r="CP214" s="116"/>
      <c r="CQ214" s="116"/>
      <c r="CR214" s="116"/>
      <c r="CS214" s="116"/>
      <c r="CT214" s="116"/>
      <c r="CU214" s="116"/>
      <c r="CV214" s="116"/>
      <c r="CW214" s="116"/>
      <c r="CX214" s="116"/>
      <c r="CY214" s="116"/>
      <c r="CZ214" s="116"/>
      <c r="DA214" s="116"/>
      <c r="DB214" s="148"/>
    </row>
    <row r="215" spans="1:106" s="117" customFormat="1" ht="12" customHeight="1" x14ac:dyDescent="0.2">
      <c r="A215" s="270" t="s">
        <v>251</v>
      </c>
      <c r="B215" s="271"/>
      <c r="C215" s="271"/>
      <c r="D215" s="271"/>
      <c r="E215" s="271"/>
      <c r="F215" s="271"/>
      <c r="G215" s="271"/>
      <c r="H215" s="271"/>
      <c r="I215" s="271"/>
      <c r="J215" s="271"/>
      <c r="K215" s="271"/>
      <c r="L215" s="271"/>
      <c r="M215" s="271"/>
      <c r="N215" s="271"/>
      <c r="O215" s="271"/>
      <c r="P215" s="271"/>
      <c r="Q215" s="271"/>
      <c r="R215" s="271"/>
      <c r="S215" s="271"/>
      <c r="T215" s="271"/>
      <c r="U215" s="271"/>
      <c r="V215" s="271"/>
      <c r="W215" s="272"/>
      <c r="X215" s="273" t="s">
        <v>39</v>
      </c>
      <c r="Y215" s="274"/>
      <c r="Z215" s="274"/>
      <c r="AA215" s="46" t="s">
        <v>28</v>
      </c>
      <c r="AB215" s="208">
        <v>0.5</v>
      </c>
      <c r="AC215" s="208"/>
      <c r="AD215" s="208"/>
      <c r="AE215" s="208"/>
      <c r="AF215" s="282" t="s">
        <v>40</v>
      </c>
      <c r="AG215" s="274"/>
      <c r="AH215" s="274"/>
      <c r="AI215" s="274"/>
      <c r="AJ215" s="274"/>
      <c r="AK215" s="46" t="s">
        <v>28</v>
      </c>
      <c r="AL215" s="257">
        <v>2</v>
      </c>
      <c r="AM215" s="258"/>
      <c r="AN215" s="258"/>
      <c r="AO215" s="258"/>
      <c r="AP215" s="258"/>
      <c r="AQ215" s="288"/>
      <c r="AR215" s="288"/>
      <c r="AS215" s="209"/>
      <c r="AT215" s="209"/>
      <c r="AU215" s="209"/>
      <c r="AV215" s="127"/>
      <c r="AW215" s="315"/>
      <c r="AX215" s="217"/>
      <c r="AY215" s="217"/>
      <c r="AZ215" s="218"/>
      <c r="BA215" s="219"/>
      <c r="BB215" s="220"/>
      <c r="BC215" s="220"/>
      <c r="BD215" s="220"/>
      <c r="BE215" s="220"/>
      <c r="BF215" s="221"/>
      <c r="BG215" s="221"/>
      <c r="BH215" s="222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  <c r="CJ215" s="116"/>
      <c r="CK215" s="116"/>
      <c r="CL215" s="116"/>
      <c r="CM215" s="116"/>
      <c r="CN215" s="116"/>
      <c r="CO215" s="116"/>
      <c r="CP215" s="116"/>
      <c r="CQ215" s="116"/>
      <c r="CR215" s="116"/>
      <c r="CS215" s="116"/>
      <c r="CT215" s="116"/>
      <c r="CU215" s="116"/>
      <c r="CV215" s="116"/>
      <c r="CW215" s="116"/>
      <c r="CX215" s="116"/>
      <c r="CY215" s="116"/>
      <c r="CZ215" s="116"/>
      <c r="DA215" s="116"/>
      <c r="DB215" s="148"/>
    </row>
    <row r="216" spans="1:106" s="117" customFormat="1" ht="12" customHeight="1" x14ac:dyDescent="0.2">
      <c r="A216" s="270"/>
      <c r="B216" s="271"/>
      <c r="C216" s="271"/>
      <c r="D216" s="271"/>
      <c r="E216" s="271"/>
      <c r="F216" s="271"/>
      <c r="G216" s="271"/>
      <c r="H216" s="271"/>
      <c r="I216" s="271"/>
      <c r="J216" s="271"/>
      <c r="K216" s="271"/>
      <c r="L216" s="271"/>
      <c r="M216" s="271"/>
      <c r="N216" s="271"/>
      <c r="O216" s="271"/>
      <c r="P216" s="271"/>
      <c r="Q216" s="271"/>
      <c r="R216" s="271"/>
      <c r="S216" s="271"/>
      <c r="T216" s="271"/>
      <c r="U216" s="271"/>
      <c r="V216" s="271"/>
      <c r="W216" s="272"/>
      <c r="X216" s="273" t="s">
        <v>43</v>
      </c>
      <c r="Y216" s="274"/>
      <c r="Z216" s="274"/>
      <c r="AA216" s="46" t="s">
        <v>28</v>
      </c>
      <c r="AB216" s="217">
        <v>1</v>
      </c>
      <c r="AC216" s="217"/>
      <c r="AD216" s="217"/>
      <c r="AE216" s="217"/>
      <c r="AF216" s="282" t="s">
        <v>44</v>
      </c>
      <c r="AG216" s="274"/>
      <c r="AH216" s="274"/>
      <c r="AI216" s="274"/>
      <c r="AJ216" s="274"/>
      <c r="AK216" s="46" t="s">
        <v>28</v>
      </c>
      <c r="AL216" s="257">
        <v>3.7</v>
      </c>
      <c r="AM216" s="258"/>
      <c r="AN216" s="258"/>
      <c r="AO216" s="258"/>
      <c r="AP216" s="258"/>
      <c r="AQ216" s="137"/>
      <c r="AR216" s="137"/>
      <c r="AS216" s="137"/>
      <c r="AT216" s="137"/>
      <c r="AU216" s="137"/>
      <c r="AV216" s="137"/>
      <c r="AW216" s="137"/>
      <c r="AX216" s="137"/>
      <c r="AY216" s="137"/>
      <c r="AZ216" s="166"/>
      <c r="BA216" s="219"/>
      <c r="BB216" s="220"/>
      <c r="BC216" s="220"/>
      <c r="BD216" s="220"/>
      <c r="BE216" s="220"/>
      <c r="BF216" s="221"/>
      <c r="BG216" s="221"/>
      <c r="BH216" s="222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  <c r="CJ216" s="116"/>
      <c r="CK216" s="116"/>
      <c r="CL216" s="116"/>
      <c r="CM216" s="116"/>
      <c r="CN216" s="116"/>
      <c r="CO216" s="116"/>
      <c r="CP216" s="116"/>
      <c r="CQ216" s="116"/>
      <c r="CR216" s="116"/>
      <c r="CS216" s="116"/>
      <c r="CT216" s="116"/>
      <c r="CU216" s="116"/>
      <c r="CV216" s="116"/>
      <c r="CW216" s="116"/>
      <c r="CX216" s="116"/>
      <c r="CY216" s="116"/>
      <c r="CZ216" s="116"/>
      <c r="DA216" s="116"/>
      <c r="DB216" s="148"/>
    </row>
    <row r="217" spans="1:106" s="117" customFormat="1" ht="12" customHeight="1" x14ac:dyDescent="0.2">
      <c r="A217" s="270"/>
      <c r="B217" s="271"/>
      <c r="C217" s="271"/>
      <c r="D217" s="271"/>
      <c r="E217" s="271"/>
      <c r="F217" s="271"/>
      <c r="G217" s="271"/>
      <c r="H217" s="271"/>
      <c r="I217" s="271"/>
      <c r="J217" s="271"/>
      <c r="K217" s="271"/>
      <c r="L217" s="271"/>
      <c r="M217" s="271"/>
      <c r="N217" s="271"/>
      <c r="O217" s="271"/>
      <c r="P217" s="271"/>
      <c r="Q217" s="271"/>
      <c r="R217" s="271"/>
      <c r="S217" s="271"/>
      <c r="T217" s="271"/>
      <c r="U217" s="271"/>
      <c r="V217" s="271"/>
      <c r="W217" s="272"/>
      <c r="X217" s="259" t="s">
        <v>22</v>
      </c>
      <c r="Y217" s="260"/>
      <c r="Z217" s="260"/>
      <c r="AA217" s="123" t="s">
        <v>28</v>
      </c>
      <c r="AB217" s="217" t="str">
        <f>CONCATENATE(AL215," + [(",AL216," - ", AL215,") / (",AB216," - ", AB215,")] x (",D218," - ",AB215,")  = ")</f>
        <v xml:space="preserve">2 + [(3,7 - 2) / (1 - 0,5)] x (0,79 - 0,5)  = </v>
      </c>
      <c r="AC217" s="217"/>
      <c r="AD217" s="217"/>
      <c r="AE217" s="217"/>
      <c r="AF217" s="217"/>
      <c r="AG217" s="217"/>
      <c r="AH217" s="217"/>
      <c r="AI217" s="217"/>
      <c r="AJ217" s="217"/>
      <c r="AK217" s="217"/>
      <c r="AL217" s="217"/>
      <c r="AM217" s="217"/>
      <c r="AN217" s="217"/>
      <c r="AO217" s="217"/>
      <c r="AP217" s="217"/>
      <c r="AQ217" s="217"/>
      <c r="AR217" s="217"/>
      <c r="AS217" s="217"/>
      <c r="AT217" s="217"/>
      <c r="AU217" s="217"/>
      <c r="AV217" s="217"/>
      <c r="AW217" s="217"/>
      <c r="AX217" s="217"/>
      <c r="AY217" s="217"/>
      <c r="AZ217" s="218"/>
      <c r="BA217" s="219">
        <f>ROUND(AL215 + ((AL216-AL215) / (AB216-AB215)) * (D218-AB215),2)</f>
        <v>2.99</v>
      </c>
      <c r="BB217" s="220"/>
      <c r="BC217" s="220"/>
      <c r="BD217" s="220"/>
      <c r="BE217" s="220"/>
      <c r="BF217" s="221" t="s">
        <v>182</v>
      </c>
      <c r="BG217" s="221"/>
      <c r="BH217" s="222"/>
      <c r="BI217" s="116"/>
      <c r="BJ217" s="175" t="s">
        <v>190</v>
      </c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  <c r="CJ217" s="116"/>
      <c r="CK217" s="116"/>
      <c r="CL217" s="116"/>
      <c r="CM217" s="116"/>
      <c r="CN217" s="116"/>
      <c r="CO217" s="116"/>
      <c r="CP217" s="116"/>
      <c r="CQ217" s="116"/>
      <c r="CR217" s="116"/>
      <c r="CS217" s="116"/>
      <c r="CT217" s="116"/>
      <c r="CU217" s="116"/>
      <c r="CV217" s="116"/>
      <c r="CW217" s="116"/>
      <c r="CX217" s="116"/>
      <c r="CY217" s="116"/>
      <c r="CZ217" s="116"/>
      <c r="DA217" s="116"/>
      <c r="DB217" s="148"/>
    </row>
    <row r="218" spans="1:106" s="117" customFormat="1" ht="12" customHeight="1" x14ac:dyDescent="0.25">
      <c r="A218" s="223" t="s">
        <v>189</v>
      </c>
      <c r="B218" s="224"/>
      <c r="C218" s="142" t="s">
        <v>28</v>
      </c>
      <c r="D218" s="261">
        <v>0.79</v>
      </c>
      <c r="E218" s="261"/>
      <c r="F218" s="261"/>
      <c r="G218" s="261"/>
      <c r="H218" s="261"/>
      <c r="I218" s="226" t="s">
        <v>255</v>
      </c>
      <c r="J218" s="226"/>
      <c r="K218" s="226"/>
      <c r="L218" s="226"/>
      <c r="M218" s="226"/>
      <c r="N218" s="226"/>
      <c r="O218" s="149"/>
      <c r="P218" s="149"/>
      <c r="Q218" s="149"/>
      <c r="R218" s="224"/>
      <c r="S218" s="224"/>
      <c r="T218" s="142"/>
      <c r="U218" s="227"/>
      <c r="V218" s="226"/>
      <c r="W218" s="228"/>
      <c r="X218" s="229" t="s">
        <v>181</v>
      </c>
      <c r="Y218" s="230"/>
      <c r="Z218" s="230"/>
      <c r="AA218" s="126" t="s">
        <v>28</v>
      </c>
      <c r="AB218" s="231" t="str">
        <f>CONCATENATE(BA217," x ",$AO$17," x ", AP214," x [1 + 0,5 x (",AW214," - 1)]  = ")</f>
        <v xml:space="preserve">2,99 x 307,7 x 1,0171 x [1 + 0,5 x (1,1435 - 1)]  = </v>
      </c>
      <c r="AC218" s="231"/>
      <c r="AD218" s="231"/>
      <c r="AE218" s="231"/>
      <c r="AF218" s="231"/>
      <c r="AG218" s="231"/>
      <c r="AH218" s="231"/>
      <c r="AI218" s="231"/>
      <c r="AJ218" s="231"/>
      <c r="AK218" s="231"/>
      <c r="AL218" s="231"/>
      <c r="AM218" s="231"/>
      <c r="AN218" s="231"/>
      <c r="AO218" s="231"/>
      <c r="AP218" s="231"/>
      <c r="AQ218" s="231"/>
      <c r="AR218" s="231"/>
      <c r="AS218" s="231"/>
      <c r="AT218" s="231"/>
      <c r="AU218" s="231"/>
      <c r="AV218" s="231"/>
      <c r="AW218" s="231"/>
      <c r="AX218" s="231"/>
      <c r="AY218" s="231"/>
      <c r="AZ218" s="232"/>
      <c r="BA218" s="233">
        <f>ROUND(BA217*$AO$17*AP214*(1+0.5*(AW214-1)),2)</f>
        <v>1002.9</v>
      </c>
      <c r="BB218" s="234"/>
      <c r="BC218" s="234"/>
      <c r="BD218" s="234"/>
      <c r="BE218" s="234"/>
      <c r="BF218" s="235" t="s">
        <v>23</v>
      </c>
      <c r="BG218" s="235"/>
      <c r="BH218" s="23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  <c r="CJ218" s="116"/>
      <c r="CK218" s="116"/>
      <c r="CL218" s="116"/>
      <c r="CM218" s="116"/>
      <c r="CN218" s="116"/>
      <c r="CO218" s="116"/>
      <c r="CP218" s="116"/>
      <c r="CQ218" s="116"/>
      <c r="CR218" s="116"/>
      <c r="CS218" s="116"/>
      <c r="CT218" s="116"/>
      <c r="CU218" s="116"/>
      <c r="CV218" s="116"/>
      <c r="CW218" s="116"/>
      <c r="CX218" s="116"/>
      <c r="CY218" s="116"/>
      <c r="CZ218" s="116"/>
      <c r="DA218" s="116"/>
      <c r="DB218" s="148"/>
    </row>
    <row r="219" spans="1:106" ht="12" customHeight="1" x14ac:dyDescent="0.2">
      <c r="A219" s="132" t="s">
        <v>239</v>
      </c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  <c r="AJ219" s="133"/>
      <c r="AK219" s="134"/>
      <c r="AL219" s="134"/>
      <c r="AM219" s="134"/>
      <c r="AN219" s="134"/>
      <c r="AO219" s="134"/>
      <c r="AP219" s="134"/>
      <c r="AQ219" s="135"/>
      <c r="AR219" s="136"/>
      <c r="AS219" s="135"/>
      <c r="AT219" s="135"/>
      <c r="AU219" s="135"/>
      <c r="AV219" s="135"/>
      <c r="AW219" s="240" t="s">
        <v>22</v>
      </c>
      <c r="AX219" s="240"/>
      <c r="AY219" s="240"/>
      <c r="AZ219" s="188" t="s">
        <v>28</v>
      </c>
      <c r="BA219" s="241">
        <f>BA204+BA212+BA217</f>
        <v>39.130000000000003</v>
      </c>
      <c r="BB219" s="241"/>
      <c r="BC219" s="241"/>
      <c r="BD219" s="241"/>
      <c r="BE219" s="241"/>
      <c r="BF219" s="189" t="s">
        <v>182</v>
      </c>
      <c r="BG219" s="189"/>
      <c r="BH219" s="190"/>
    </row>
    <row r="220" spans="1:106" s="117" customFormat="1" ht="12" customHeight="1" x14ac:dyDescent="0.2">
      <c r="A220" s="262" t="s">
        <v>179</v>
      </c>
      <c r="B220" s="263"/>
      <c r="C220" s="263"/>
      <c r="D220" s="263"/>
      <c r="E220" s="263"/>
      <c r="F220" s="263"/>
      <c r="G220" s="263"/>
      <c r="H220" s="263"/>
      <c r="I220" s="263"/>
      <c r="J220" s="263"/>
      <c r="K220" s="263"/>
      <c r="L220" s="263"/>
      <c r="M220" s="263"/>
      <c r="N220" s="263"/>
      <c r="O220" s="263"/>
      <c r="P220" s="263"/>
      <c r="Q220" s="263"/>
      <c r="R220" s="263"/>
      <c r="S220" s="263"/>
      <c r="T220" s="263"/>
      <c r="U220" s="263"/>
      <c r="V220" s="263"/>
      <c r="W220" s="263"/>
      <c r="X220" s="140"/>
      <c r="Y220" s="140"/>
      <c r="Z220" s="140"/>
      <c r="AA220" s="140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4"/>
      <c r="AU220" s="144"/>
      <c r="AV220" s="145"/>
      <c r="AW220" s="264" t="s">
        <v>186</v>
      </c>
      <c r="AX220" s="264"/>
      <c r="AY220" s="264"/>
      <c r="AZ220" s="141" t="s">
        <v>28</v>
      </c>
      <c r="BA220" s="265">
        <f>BA205+BA213+BA218</f>
        <v>13124.859999999999</v>
      </c>
      <c r="BB220" s="265"/>
      <c r="BC220" s="265"/>
      <c r="BD220" s="265"/>
      <c r="BE220" s="265"/>
      <c r="BF220" s="266" t="s">
        <v>23</v>
      </c>
      <c r="BG220" s="266"/>
      <c r="BH220" s="267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  <c r="CJ220" s="116"/>
      <c r="CK220" s="116"/>
      <c r="CL220" s="116"/>
      <c r="CM220" s="116"/>
      <c r="CN220" s="116"/>
      <c r="CO220" s="116"/>
      <c r="CP220" s="116"/>
      <c r="CQ220" s="116"/>
      <c r="CR220" s="116"/>
      <c r="CS220" s="116"/>
      <c r="CT220" s="116"/>
      <c r="CU220" s="116"/>
      <c r="CV220" s="116"/>
      <c r="CW220" s="116"/>
      <c r="CX220" s="116"/>
      <c r="CY220" s="116"/>
      <c r="CZ220" s="116"/>
      <c r="DA220" s="116"/>
      <c r="DB220" s="148"/>
    </row>
    <row r="221" spans="1:106" s="1" customFormat="1" ht="13.5" customHeight="1" x14ac:dyDescent="0.2">
      <c r="A221" s="328" t="str">
        <f>график!A34</f>
        <v>8</v>
      </c>
      <c r="B221" s="329"/>
      <c r="C221" s="330" t="str">
        <f>график!B34</f>
        <v>УСЛУГИ ПО ОБЩЕМУ РУКОВОДСТВУ ПРИ ВЫПОЛНЕНИИ СТРОИТЕЛЬНЫХ, МОНТАЖНЫХ И ПУСКОНАЛАДОЧНЫХ РАБОТ</v>
      </c>
      <c r="D221" s="331"/>
      <c r="E221" s="331"/>
      <c r="F221" s="331"/>
      <c r="G221" s="331"/>
      <c r="H221" s="331"/>
      <c r="I221" s="331"/>
      <c r="J221" s="331"/>
      <c r="K221" s="331"/>
      <c r="L221" s="331"/>
      <c r="M221" s="331"/>
      <c r="N221" s="331"/>
      <c r="O221" s="331"/>
      <c r="P221" s="331"/>
      <c r="Q221" s="331"/>
      <c r="R221" s="331"/>
      <c r="S221" s="331"/>
      <c r="T221" s="331"/>
      <c r="U221" s="331"/>
      <c r="V221" s="331"/>
      <c r="W221" s="331"/>
      <c r="X221" s="331"/>
      <c r="Y221" s="331"/>
      <c r="Z221" s="331"/>
      <c r="AA221" s="331"/>
      <c r="AB221" s="331"/>
      <c r="AC221" s="331"/>
      <c r="AD221" s="331"/>
      <c r="AE221" s="331"/>
      <c r="AF221" s="331"/>
      <c r="AG221" s="331"/>
      <c r="AH221" s="331"/>
      <c r="AI221" s="331"/>
      <c r="AJ221" s="331"/>
      <c r="AK221" s="331"/>
      <c r="AL221" s="331"/>
      <c r="AM221" s="331"/>
      <c r="AN221" s="331"/>
      <c r="AO221" s="331"/>
      <c r="AP221" s="331"/>
      <c r="AQ221" s="331"/>
      <c r="AR221" s="331"/>
      <c r="AS221" s="331"/>
      <c r="AT221" s="331"/>
      <c r="AU221" s="331"/>
      <c r="AV221" s="331"/>
      <c r="AW221" s="331"/>
      <c r="AX221" s="331"/>
      <c r="AY221" s="331"/>
      <c r="AZ221" s="331"/>
      <c r="BA221" s="331"/>
      <c r="BB221" s="331"/>
      <c r="BC221" s="331"/>
      <c r="BD221" s="331"/>
      <c r="BE221" s="331"/>
      <c r="BF221" s="331"/>
      <c r="BG221" s="331"/>
      <c r="BH221" s="332"/>
      <c r="BI221" s="116"/>
    </row>
    <row r="222" spans="1:106" s="119" customFormat="1" ht="12" customHeight="1" x14ac:dyDescent="0.2">
      <c r="A222" s="307" t="str">
        <f>график!A35</f>
        <v>8.1</v>
      </c>
      <c r="B222" s="308"/>
      <c r="C222" s="309" t="str">
        <f>график!B35</f>
        <v>участие в выполнении строительных, монтажных и пусконаладочных работ в части обязательств заказчика (застройщика) по заключенным договорам строительного подряда - общее руководство строительством</v>
      </c>
      <c r="D222" s="309"/>
      <c r="E222" s="309"/>
      <c r="F222" s="309"/>
      <c r="G222" s="309"/>
      <c r="H222" s="309"/>
      <c r="I222" s="309"/>
      <c r="J222" s="309"/>
      <c r="K222" s="309"/>
      <c r="L222" s="309"/>
      <c r="M222" s="309"/>
      <c r="N222" s="309"/>
      <c r="O222" s="309"/>
      <c r="P222" s="309"/>
      <c r="Q222" s="309"/>
      <c r="R222" s="309"/>
      <c r="S222" s="309"/>
      <c r="T222" s="309"/>
      <c r="U222" s="309"/>
      <c r="V222" s="309"/>
      <c r="W222" s="309"/>
      <c r="X222" s="309"/>
      <c r="Y222" s="309"/>
      <c r="Z222" s="309"/>
      <c r="AA222" s="309"/>
      <c r="AB222" s="309"/>
      <c r="AC222" s="309"/>
      <c r="AD222" s="309"/>
      <c r="AE222" s="309"/>
      <c r="AF222" s="309"/>
      <c r="AG222" s="309"/>
      <c r="AH222" s="309"/>
      <c r="AI222" s="309"/>
      <c r="AJ222" s="309"/>
      <c r="AK222" s="309"/>
      <c r="AL222" s="309"/>
      <c r="AM222" s="309"/>
      <c r="AN222" s="309"/>
      <c r="AO222" s="309"/>
      <c r="AP222" s="309"/>
      <c r="AQ222" s="309"/>
      <c r="AR222" s="309"/>
      <c r="AS222" s="309"/>
      <c r="AT222" s="309"/>
      <c r="AU222" s="309"/>
      <c r="AV222" s="309"/>
      <c r="AW222" s="309"/>
      <c r="AX222" s="309"/>
      <c r="AY222" s="309"/>
      <c r="AZ222" s="309"/>
      <c r="BA222" s="310" t="s">
        <v>264</v>
      </c>
      <c r="BB222" s="310"/>
      <c r="BC222" s="310"/>
      <c r="BD222" s="310"/>
      <c r="BE222" s="310"/>
      <c r="BF222" s="310"/>
      <c r="BG222" s="310"/>
      <c r="BH222" s="311"/>
      <c r="BI222" s="146"/>
      <c r="BJ222" s="146"/>
      <c r="BK222" s="146"/>
      <c r="BL222" s="146"/>
      <c r="BM222" s="146"/>
      <c r="BN222" s="146"/>
      <c r="BO222" s="146"/>
      <c r="BP222" s="146"/>
      <c r="BQ222" s="146"/>
      <c r="BR222" s="146"/>
      <c r="BS222" s="146"/>
      <c r="BT222" s="146"/>
      <c r="BU222" s="146"/>
      <c r="BV222" s="146"/>
      <c r="BW222" s="146"/>
      <c r="BX222" s="146"/>
      <c r="BY222" s="146"/>
      <c r="BZ222" s="146"/>
      <c r="CA222" s="146"/>
      <c r="CB222" s="146"/>
      <c r="CC222" s="146"/>
      <c r="CD222" s="146"/>
      <c r="CE222" s="146"/>
      <c r="CF222" s="146"/>
      <c r="CG222" s="146"/>
      <c r="CH222" s="146"/>
      <c r="CI222" s="146"/>
      <c r="CJ222" s="146"/>
      <c r="CK222" s="146"/>
      <c r="CL222" s="146"/>
      <c r="CM222" s="146"/>
      <c r="CN222" s="146"/>
      <c r="CO222" s="146"/>
      <c r="CP222" s="146"/>
      <c r="CQ222" s="146"/>
      <c r="CR222" s="146"/>
      <c r="CS222" s="146"/>
      <c r="CT222" s="146"/>
      <c r="CU222" s="146"/>
      <c r="CV222" s="146"/>
      <c r="CW222" s="146"/>
      <c r="CX222" s="146"/>
      <c r="CY222" s="146"/>
      <c r="CZ222" s="146"/>
      <c r="DA222" s="146"/>
      <c r="DB222" s="147"/>
    </row>
    <row r="223" spans="1:106" s="117" customFormat="1" ht="12" customHeight="1" x14ac:dyDescent="0.25">
      <c r="A223" s="237" t="s">
        <v>200</v>
      </c>
      <c r="B223" s="238"/>
      <c r="C223" s="238"/>
      <c r="D223" s="238"/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  <c r="P223" s="238"/>
      <c r="Q223" s="238"/>
      <c r="R223" s="238"/>
      <c r="S223" s="238"/>
      <c r="T223" s="238"/>
      <c r="U223" s="238"/>
      <c r="V223" s="238"/>
      <c r="W223" s="239"/>
      <c r="X223" s="275" t="s">
        <v>45</v>
      </c>
      <c r="Y223" s="276"/>
      <c r="Z223" s="276"/>
      <c r="AA223" s="276"/>
      <c r="AB223" s="277" t="str">
        <f>график!C35</f>
        <v>сен 2024</v>
      </c>
      <c r="AC223" s="278"/>
      <c r="AD223" s="278"/>
      <c r="AE223" s="278"/>
      <c r="AF223" s="278"/>
      <c r="AG223" s="122" t="s">
        <v>1</v>
      </c>
      <c r="AH223" s="279" t="str">
        <f>график!E35</f>
        <v>янв 2025</v>
      </c>
      <c r="AI223" s="280"/>
      <c r="AJ223" s="280"/>
      <c r="AK223" s="280"/>
      <c r="AL223" s="280"/>
      <c r="AM223" s="211" t="s">
        <v>177</v>
      </c>
      <c r="AN223" s="211"/>
      <c r="AO223" s="120" t="s">
        <v>28</v>
      </c>
      <c r="AP223" s="281">
        <f>график!F35</f>
        <v>1.1177999999999999</v>
      </c>
      <c r="AQ223" s="281"/>
      <c r="AR223" s="281"/>
      <c r="AS223" s="281"/>
      <c r="AT223" s="211" t="s">
        <v>178</v>
      </c>
      <c r="AU223" s="211"/>
      <c r="AV223" s="120" t="s">
        <v>28</v>
      </c>
      <c r="AW223" s="212">
        <f>график!G35</f>
        <v>1.0386</v>
      </c>
      <c r="AX223" s="212"/>
      <c r="AY223" s="212"/>
      <c r="AZ223" s="213"/>
      <c r="BA223" s="214"/>
      <c r="BB223" s="215"/>
      <c r="BC223" s="215"/>
      <c r="BD223" s="215"/>
      <c r="BE223" s="215"/>
      <c r="BF223" s="215"/>
      <c r="BG223" s="215"/>
      <c r="BH223" s="2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  <c r="CJ223" s="116"/>
      <c r="CK223" s="116"/>
      <c r="CL223" s="116"/>
      <c r="CM223" s="116"/>
      <c r="CN223" s="116"/>
      <c r="CO223" s="116"/>
      <c r="CP223" s="116"/>
      <c r="CQ223" s="116"/>
      <c r="CR223" s="116"/>
      <c r="CS223" s="116"/>
      <c r="CT223" s="116"/>
      <c r="CU223" s="116"/>
      <c r="CV223" s="116"/>
      <c r="CW223" s="116"/>
      <c r="CX223" s="116"/>
      <c r="CY223" s="116"/>
      <c r="CZ223" s="116"/>
      <c r="DA223" s="116"/>
      <c r="DB223" s="148"/>
    </row>
    <row r="224" spans="1:106" s="117" customFormat="1" ht="12" customHeight="1" x14ac:dyDescent="0.2">
      <c r="A224" s="270" t="s">
        <v>198</v>
      </c>
      <c r="B224" s="271"/>
      <c r="C224" s="271"/>
      <c r="D224" s="271"/>
      <c r="E224" s="271"/>
      <c r="F224" s="271"/>
      <c r="G224" s="271"/>
      <c r="H224" s="271"/>
      <c r="I224" s="271"/>
      <c r="J224" s="271"/>
      <c r="K224" s="271"/>
      <c r="L224" s="271"/>
      <c r="M224" s="271"/>
      <c r="N224" s="271"/>
      <c r="O224" s="271"/>
      <c r="P224" s="271"/>
      <c r="Q224" s="271"/>
      <c r="R224" s="271"/>
      <c r="S224" s="271"/>
      <c r="T224" s="271"/>
      <c r="U224" s="271"/>
      <c r="V224" s="271"/>
      <c r="W224" s="272"/>
      <c r="X224" s="273" t="s">
        <v>39</v>
      </c>
      <c r="Y224" s="274"/>
      <c r="Z224" s="274"/>
      <c r="AA224" s="46" t="s">
        <v>28</v>
      </c>
      <c r="AB224" s="217">
        <v>3000</v>
      </c>
      <c r="AC224" s="217"/>
      <c r="AD224" s="217"/>
      <c r="AE224" s="217"/>
      <c r="AF224" s="282" t="s">
        <v>40</v>
      </c>
      <c r="AG224" s="274"/>
      <c r="AH224" s="274"/>
      <c r="AI224" s="274"/>
      <c r="AJ224" s="274"/>
      <c r="AK224" s="46" t="s">
        <v>28</v>
      </c>
      <c r="AL224" s="257">
        <v>75</v>
      </c>
      <c r="AM224" s="258"/>
      <c r="AN224" s="258"/>
      <c r="AO224" s="258"/>
      <c r="AP224" s="258"/>
      <c r="AQ224" s="288"/>
      <c r="AR224" s="288"/>
      <c r="AS224" s="209"/>
      <c r="AT224" s="209"/>
      <c r="AU224" s="209"/>
      <c r="AV224" s="127"/>
      <c r="AW224" s="315"/>
      <c r="AX224" s="217"/>
      <c r="AY224" s="217"/>
      <c r="AZ224" s="218"/>
      <c r="BA224" s="219"/>
      <c r="BB224" s="220"/>
      <c r="BC224" s="220"/>
      <c r="BD224" s="220"/>
      <c r="BE224" s="220"/>
      <c r="BF224" s="221"/>
      <c r="BG224" s="221"/>
      <c r="BH224" s="222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  <c r="CJ224" s="116"/>
      <c r="CK224" s="116"/>
      <c r="CL224" s="116"/>
      <c r="CM224" s="116"/>
      <c r="CN224" s="116"/>
      <c r="CO224" s="116"/>
      <c r="CP224" s="116"/>
      <c r="CQ224" s="116"/>
      <c r="CR224" s="116"/>
      <c r="CS224" s="116"/>
      <c r="CT224" s="116"/>
      <c r="CU224" s="116"/>
      <c r="CV224" s="116"/>
      <c r="CW224" s="116"/>
      <c r="CX224" s="116"/>
      <c r="CY224" s="116"/>
      <c r="CZ224" s="116"/>
      <c r="DA224" s="116"/>
      <c r="DB224" s="148"/>
    </row>
    <row r="225" spans="1:106" s="117" customFormat="1" ht="12" customHeight="1" x14ac:dyDescent="0.2">
      <c r="A225" s="270"/>
      <c r="B225" s="271"/>
      <c r="C225" s="271"/>
      <c r="D225" s="271"/>
      <c r="E225" s="271"/>
      <c r="F225" s="271"/>
      <c r="G225" s="271"/>
      <c r="H225" s="271"/>
      <c r="I225" s="271"/>
      <c r="J225" s="271"/>
      <c r="K225" s="271"/>
      <c r="L225" s="271"/>
      <c r="M225" s="271"/>
      <c r="N225" s="271"/>
      <c r="O225" s="271"/>
      <c r="P225" s="271"/>
      <c r="Q225" s="271"/>
      <c r="R225" s="271"/>
      <c r="S225" s="271"/>
      <c r="T225" s="271"/>
      <c r="U225" s="271"/>
      <c r="V225" s="271"/>
      <c r="W225" s="272"/>
      <c r="X225" s="273" t="s">
        <v>43</v>
      </c>
      <c r="Y225" s="274"/>
      <c r="Z225" s="274"/>
      <c r="AA225" s="46" t="s">
        <v>28</v>
      </c>
      <c r="AB225" s="217">
        <v>4000</v>
      </c>
      <c r="AC225" s="217"/>
      <c r="AD225" s="217"/>
      <c r="AE225" s="217"/>
      <c r="AF225" s="282" t="s">
        <v>44</v>
      </c>
      <c r="AG225" s="274"/>
      <c r="AH225" s="274"/>
      <c r="AI225" s="274"/>
      <c r="AJ225" s="274"/>
      <c r="AK225" s="46" t="s">
        <v>28</v>
      </c>
      <c r="AL225" s="257">
        <v>90</v>
      </c>
      <c r="AM225" s="258"/>
      <c r="AN225" s="258"/>
      <c r="AO225" s="258"/>
      <c r="AP225" s="258"/>
      <c r="AQ225" s="137"/>
      <c r="AR225" s="137"/>
      <c r="AS225" s="137"/>
      <c r="AT225" s="137"/>
      <c r="AU225" s="137"/>
      <c r="AV225" s="137"/>
      <c r="AW225" s="137"/>
      <c r="AX225" s="137"/>
      <c r="AY225" s="137"/>
      <c r="AZ225" s="166"/>
      <c r="BA225" s="219"/>
      <c r="BB225" s="220"/>
      <c r="BC225" s="220"/>
      <c r="BD225" s="220"/>
      <c r="BE225" s="220"/>
      <c r="BF225" s="221"/>
      <c r="BG225" s="221"/>
      <c r="BH225" s="222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  <c r="CJ225" s="116"/>
      <c r="CK225" s="116"/>
      <c r="CL225" s="116"/>
      <c r="CM225" s="116"/>
      <c r="CN225" s="116"/>
      <c r="CO225" s="116"/>
      <c r="CP225" s="116"/>
      <c r="CQ225" s="116"/>
      <c r="CR225" s="116"/>
      <c r="CS225" s="116"/>
      <c r="CT225" s="116"/>
      <c r="CU225" s="116"/>
      <c r="CV225" s="116"/>
      <c r="CW225" s="116"/>
      <c r="CX225" s="116"/>
      <c r="CY225" s="116"/>
      <c r="CZ225" s="116"/>
      <c r="DA225" s="116"/>
      <c r="DB225" s="148"/>
    </row>
    <row r="226" spans="1:106" s="117" customFormat="1" ht="12" customHeight="1" x14ac:dyDescent="0.2">
      <c r="A226" s="270"/>
      <c r="B226" s="271"/>
      <c r="C226" s="271"/>
      <c r="D226" s="271"/>
      <c r="E226" s="271"/>
      <c r="F226" s="271"/>
      <c r="G226" s="271"/>
      <c r="H226" s="271"/>
      <c r="I226" s="271"/>
      <c r="J226" s="271"/>
      <c r="K226" s="271"/>
      <c r="L226" s="271"/>
      <c r="M226" s="271"/>
      <c r="N226" s="271"/>
      <c r="O226" s="271"/>
      <c r="P226" s="271"/>
      <c r="Q226" s="271"/>
      <c r="R226" s="271"/>
      <c r="S226" s="271"/>
      <c r="T226" s="271"/>
      <c r="U226" s="271"/>
      <c r="V226" s="271"/>
      <c r="W226" s="272"/>
      <c r="X226" s="259" t="s">
        <v>22</v>
      </c>
      <c r="Y226" s="260"/>
      <c r="Z226" s="260"/>
      <c r="AA226" s="123" t="s">
        <v>28</v>
      </c>
      <c r="AB226" s="217" t="str">
        <f>CONCATENATE(AL224," + [(",AL225," - ", AL224,") / (",AB225," - ", AB224,")] x (",D230," - ",AB224,")  = ")</f>
        <v xml:space="preserve">75 + [(90 - 75) / (4000 - 3000)] x (3310 - 3000)  = </v>
      </c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  <c r="AN226" s="217"/>
      <c r="AO226" s="217"/>
      <c r="AP226" s="217"/>
      <c r="AQ226" s="217"/>
      <c r="AR226" s="217"/>
      <c r="AS226" s="217"/>
      <c r="AT226" s="217"/>
      <c r="AU226" s="217"/>
      <c r="AV226" s="217"/>
      <c r="AW226" s="217"/>
      <c r="AX226" s="217"/>
      <c r="AY226" s="217"/>
      <c r="AZ226" s="218"/>
      <c r="BA226" s="219">
        <f>ROUND(AL224 + ((AL225-AL224) / (AB225-AB224)) * (D230-AB224),2)</f>
        <v>79.650000000000006</v>
      </c>
      <c r="BB226" s="220"/>
      <c r="BC226" s="220"/>
      <c r="BD226" s="220"/>
      <c r="BE226" s="220"/>
      <c r="BF226" s="221" t="s">
        <v>182</v>
      </c>
      <c r="BG226" s="221"/>
      <c r="BH226" s="222"/>
      <c r="BI226" s="116"/>
      <c r="BJ226" s="175" t="s">
        <v>190</v>
      </c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  <c r="CJ226" s="116"/>
      <c r="CK226" s="116"/>
      <c r="CL226" s="116"/>
      <c r="CM226" s="116"/>
      <c r="CN226" s="116"/>
      <c r="CO226" s="116"/>
      <c r="CP226" s="116"/>
      <c r="CQ226" s="116"/>
      <c r="CR226" s="116"/>
      <c r="CS226" s="116"/>
      <c r="CT226" s="116"/>
      <c r="CU226" s="116"/>
      <c r="CV226" s="116"/>
      <c r="CW226" s="116"/>
      <c r="CX226" s="116"/>
      <c r="CY226" s="116"/>
      <c r="CZ226" s="116"/>
      <c r="DA226" s="116"/>
      <c r="DB226" s="148"/>
    </row>
    <row r="227" spans="1:106" s="117" customFormat="1" ht="12" customHeight="1" x14ac:dyDescent="0.25">
      <c r="A227" s="285" t="s">
        <v>30</v>
      </c>
      <c r="B227" s="286"/>
      <c r="C227" s="286"/>
      <c r="D227" s="286"/>
      <c r="E227" s="286"/>
      <c r="F227" s="286"/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7"/>
      <c r="X227" s="273" t="s">
        <v>201</v>
      </c>
      <c r="Y227" s="274"/>
      <c r="Z227" s="274"/>
      <c r="AA227" s="46" t="s">
        <v>28</v>
      </c>
      <c r="AB227" s="208">
        <v>1.05</v>
      </c>
      <c r="AC227" s="208"/>
      <c r="AD227" s="208"/>
      <c r="AE227" s="209" t="s">
        <v>203</v>
      </c>
      <c r="AF227" s="209"/>
      <c r="AG227" s="127" t="s">
        <v>28</v>
      </c>
      <c r="AH227" s="207">
        <f>D230</f>
        <v>3310</v>
      </c>
      <c r="AI227" s="207"/>
      <c r="AJ227" s="207"/>
      <c r="AK227" s="282" t="s">
        <v>208</v>
      </c>
      <c r="AL227" s="282"/>
      <c r="AM227" s="46" t="s">
        <v>28</v>
      </c>
      <c r="AN227" s="217" t="str">
        <f>CONCATENATE("1 + (",AB227," - 1) x ",AH227," / ",D230)</f>
        <v>1 + (1,05 - 1) x 3310 / 3310</v>
      </c>
      <c r="AO227" s="217"/>
      <c r="AP227" s="217"/>
      <c r="AQ227" s="217"/>
      <c r="AR227" s="217"/>
      <c r="AS227" s="217"/>
      <c r="AT227" s="217"/>
      <c r="AU227" s="217"/>
      <c r="AV227" s="217"/>
      <c r="AW227" s="217"/>
      <c r="AX227" s="217"/>
      <c r="AY227" s="217"/>
      <c r="AZ227" s="139" t="s">
        <v>28</v>
      </c>
      <c r="BA227" s="289">
        <f>ROUND(1 + (AB227 - 1) *(AH227 / D230),2)</f>
        <v>1.05</v>
      </c>
      <c r="BB227" s="290"/>
      <c r="BC227" s="290"/>
      <c r="BD227" s="290"/>
      <c r="BE227" s="290"/>
      <c r="BF227" s="129"/>
      <c r="BG227" s="129"/>
      <c r="BH227" s="130"/>
      <c r="BI227" s="116"/>
      <c r="BJ227" s="116"/>
      <c r="BK227" s="116"/>
      <c r="BL227" s="116"/>
      <c r="BM227" s="116"/>
      <c r="BO227" s="138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  <c r="CJ227" s="116"/>
      <c r="CK227" s="116"/>
      <c r="CL227" s="116"/>
      <c r="CM227" s="116"/>
      <c r="CN227" s="116"/>
      <c r="CO227" s="116"/>
      <c r="CP227" s="116"/>
      <c r="CQ227" s="116"/>
      <c r="CR227" s="116"/>
      <c r="CS227" s="116"/>
      <c r="CT227" s="116"/>
      <c r="CU227" s="116"/>
      <c r="CV227" s="116"/>
      <c r="CW227" s="116"/>
      <c r="CX227" s="116"/>
      <c r="CY227" s="116"/>
      <c r="CZ227" s="116"/>
      <c r="DA227" s="116"/>
      <c r="DB227" s="148"/>
    </row>
    <row r="228" spans="1:106" s="117" customFormat="1" ht="12" customHeight="1" x14ac:dyDescent="0.25">
      <c r="A228" s="285" t="s">
        <v>204</v>
      </c>
      <c r="B228" s="286"/>
      <c r="C228" s="286"/>
      <c r="D228" s="286"/>
      <c r="E228" s="286"/>
      <c r="F228" s="286"/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7"/>
      <c r="X228" s="273" t="s">
        <v>202</v>
      </c>
      <c r="Y228" s="274"/>
      <c r="Z228" s="274"/>
      <c r="AA228" s="46" t="s">
        <v>28</v>
      </c>
      <c r="AB228" s="208">
        <v>2.19</v>
      </c>
      <c r="AC228" s="208"/>
      <c r="AD228" s="208"/>
      <c r="AE228" s="288" t="s">
        <v>203</v>
      </c>
      <c r="AF228" s="288"/>
      <c r="AG228" s="127" t="s">
        <v>28</v>
      </c>
      <c r="AH228" s="207">
        <v>180</v>
      </c>
      <c r="AI228" s="207"/>
      <c r="AJ228" s="207"/>
      <c r="AK228" s="282" t="s">
        <v>208</v>
      </c>
      <c r="AL228" s="282"/>
      <c r="AM228" s="46" t="s">
        <v>28</v>
      </c>
      <c r="AN228" s="217" t="str">
        <f>CONCATENATE("1 + (1 - ",AB228,") x ",AH228," / ",D230)</f>
        <v>1 + (1 - 2,19) x 180 / 3310</v>
      </c>
      <c r="AO228" s="217"/>
      <c r="AP228" s="217"/>
      <c r="AQ228" s="217"/>
      <c r="AR228" s="217"/>
      <c r="AS228" s="217"/>
      <c r="AT228" s="217"/>
      <c r="AU228" s="217"/>
      <c r="AV228" s="217"/>
      <c r="AW228" s="217"/>
      <c r="AX228" s="217"/>
      <c r="AY228" s="217"/>
      <c r="AZ228" s="139" t="s">
        <v>28</v>
      </c>
      <c r="BA228" s="289">
        <f>ROUND(1 + (AB228 - 1) *(AH228 / D230),2)</f>
        <v>1.06</v>
      </c>
      <c r="BB228" s="290"/>
      <c r="BC228" s="290"/>
      <c r="BD228" s="290"/>
      <c r="BE228" s="290"/>
      <c r="BF228" s="129"/>
      <c r="BG228" s="129"/>
      <c r="BH228" s="130"/>
      <c r="BI228" s="116"/>
      <c r="BJ228" s="183">
        <f>(1+(BA227-1)+(BA228-1))</f>
        <v>1.1100000000000001</v>
      </c>
      <c r="BK228" s="116"/>
      <c r="BL228" s="116"/>
      <c r="BM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  <c r="CJ228" s="116"/>
      <c r="CK228" s="116"/>
      <c r="CL228" s="116"/>
      <c r="CM228" s="116"/>
      <c r="CN228" s="116"/>
      <c r="CO228" s="116"/>
      <c r="CP228" s="116"/>
      <c r="CQ228" s="116"/>
      <c r="CR228" s="116"/>
      <c r="CS228" s="116"/>
      <c r="CT228" s="116"/>
      <c r="CU228" s="116"/>
      <c r="CV228" s="116"/>
      <c r="CW228" s="116"/>
      <c r="CX228" s="116"/>
      <c r="CY228" s="116"/>
      <c r="CZ228" s="116"/>
      <c r="DA228" s="116"/>
      <c r="DB228" s="148"/>
    </row>
    <row r="229" spans="1:106" s="117" customFormat="1" ht="12" customHeight="1" x14ac:dyDescent="0.2">
      <c r="A229" s="160"/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2"/>
      <c r="X229" s="326" t="s">
        <v>209</v>
      </c>
      <c r="Y229" s="327"/>
      <c r="Z229" s="327"/>
      <c r="AA229" s="123" t="s">
        <v>28</v>
      </c>
      <c r="AB229" s="217" t="str">
        <f>CONCATENATE(BA226," x [1 + (",BA227," - 1) + (",BA228," - 1)] = ",BA226," x ",BJ228," = ")</f>
        <v xml:space="preserve">79,65 x [1 + (1,05 - 1) + (1,06 - 1)] = 79,65 x 1,11 = </v>
      </c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  <c r="AN229" s="217"/>
      <c r="AO229" s="217"/>
      <c r="AP229" s="217"/>
      <c r="AQ229" s="217"/>
      <c r="AR229" s="217"/>
      <c r="AS229" s="217"/>
      <c r="AT229" s="217"/>
      <c r="AU229" s="217"/>
      <c r="AV229" s="217"/>
      <c r="AW229" s="217"/>
      <c r="AX229" s="217"/>
      <c r="AY229" s="217"/>
      <c r="AZ229" s="218"/>
      <c r="BA229" s="219">
        <f>ROUND(BA226*BJ228,2)</f>
        <v>88.41</v>
      </c>
      <c r="BB229" s="220"/>
      <c r="BC229" s="220"/>
      <c r="BD229" s="220"/>
      <c r="BE229" s="220"/>
      <c r="BF229" s="221" t="s">
        <v>182</v>
      </c>
      <c r="BG229" s="221"/>
      <c r="BH229" s="222"/>
      <c r="BI229" s="116"/>
      <c r="BJ229" s="175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  <c r="CJ229" s="116"/>
      <c r="CK229" s="116"/>
      <c r="CL229" s="116"/>
      <c r="CM229" s="116"/>
      <c r="CN229" s="116"/>
      <c r="CO229" s="116"/>
      <c r="CP229" s="116"/>
      <c r="CQ229" s="116"/>
      <c r="CR229" s="116"/>
      <c r="CS229" s="116"/>
      <c r="CT229" s="116"/>
      <c r="CU229" s="116"/>
      <c r="CV229" s="116"/>
      <c r="CW229" s="116"/>
      <c r="CX229" s="116"/>
      <c r="CY229" s="116"/>
      <c r="CZ229" s="116"/>
      <c r="DA229" s="116"/>
      <c r="DB229" s="148"/>
    </row>
    <row r="230" spans="1:106" s="117" customFormat="1" ht="12" customHeight="1" x14ac:dyDescent="0.25">
      <c r="A230" s="223" t="s">
        <v>189</v>
      </c>
      <c r="B230" s="224"/>
      <c r="C230" s="142" t="s">
        <v>28</v>
      </c>
      <c r="D230" s="312">
        <f>$D$57</f>
        <v>3310</v>
      </c>
      <c r="E230" s="312"/>
      <c r="F230" s="312"/>
      <c r="G230" s="312"/>
      <c r="H230" s="312"/>
      <c r="I230" s="149"/>
      <c r="J230" s="149"/>
      <c r="K230" s="149"/>
      <c r="L230" s="149"/>
      <c r="M230" s="149"/>
      <c r="N230" s="149"/>
      <c r="O230" s="149"/>
      <c r="P230" s="149"/>
      <c r="Q230" s="149"/>
      <c r="R230" s="224"/>
      <c r="S230" s="224"/>
      <c r="T230" s="142"/>
      <c r="U230" s="227"/>
      <c r="V230" s="226"/>
      <c r="W230" s="228"/>
      <c r="X230" s="313" t="s">
        <v>181</v>
      </c>
      <c r="Y230" s="314"/>
      <c r="Z230" s="314"/>
      <c r="AA230" s="126" t="s">
        <v>28</v>
      </c>
      <c r="AB230" s="231" t="str">
        <f>CONCATENATE(BA229," x ",$AO$17," x ", AP223," x [1 + 0,5 x (",AW223," - 1)]  = ")</f>
        <v xml:space="preserve">88,41 x 307,7 x 1,1178 x [1 + 0,5 x (1,0386 - 1)]  = </v>
      </c>
      <c r="AC230" s="231"/>
      <c r="AD230" s="231"/>
      <c r="AE230" s="231"/>
      <c r="AF230" s="231"/>
      <c r="AG230" s="231"/>
      <c r="AH230" s="231"/>
      <c r="AI230" s="231"/>
      <c r="AJ230" s="231"/>
      <c r="AK230" s="231"/>
      <c r="AL230" s="231"/>
      <c r="AM230" s="231"/>
      <c r="AN230" s="231"/>
      <c r="AO230" s="231"/>
      <c r="AP230" s="231"/>
      <c r="AQ230" s="231"/>
      <c r="AR230" s="231"/>
      <c r="AS230" s="231"/>
      <c r="AT230" s="231"/>
      <c r="AU230" s="231"/>
      <c r="AV230" s="231"/>
      <c r="AW230" s="231"/>
      <c r="AX230" s="231"/>
      <c r="AY230" s="231"/>
      <c r="AZ230" s="232"/>
      <c r="BA230" s="233">
        <f>ROUND(BA229*$AO$17*AP223*(1+0.5*(AW223-1)),2)</f>
        <v>30995.24</v>
      </c>
      <c r="BB230" s="234"/>
      <c r="BC230" s="234"/>
      <c r="BD230" s="234"/>
      <c r="BE230" s="234"/>
      <c r="BF230" s="235" t="s">
        <v>23</v>
      </c>
      <c r="BG230" s="235"/>
      <c r="BH230" s="23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  <c r="CJ230" s="116"/>
      <c r="CK230" s="116"/>
      <c r="CL230" s="116"/>
      <c r="CM230" s="116"/>
      <c r="CN230" s="116"/>
      <c r="CO230" s="116"/>
      <c r="CP230" s="116"/>
      <c r="CQ230" s="116"/>
      <c r="CR230" s="116"/>
      <c r="CS230" s="116"/>
      <c r="CT230" s="116"/>
      <c r="CU230" s="116"/>
      <c r="CV230" s="116"/>
      <c r="CW230" s="116"/>
      <c r="CX230" s="116"/>
      <c r="CY230" s="116"/>
      <c r="CZ230" s="116"/>
      <c r="DA230" s="116"/>
      <c r="DB230" s="148"/>
    </row>
    <row r="231" spans="1:106" s="117" customFormat="1" ht="12" customHeight="1" x14ac:dyDescent="0.25">
      <c r="A231" s="237" t="s">
        <v>246</v>
      </c>
      <c r="B231" s="238"/>
      <c r="C231" s="238"/>
      <c r="D231" s="238"/>
      <c r="E231" s="238"/>
      <c r="F231" s="238"/>
      <c r="G231" s="238"/>
      <c r="H231" s="238"/>
      <c r="I231" s="238"/>
      <c r="J231" s="238"/>
      <c r="K231" s="238"/>
      <c r="L231" s="238"/>
      <c r="M231" s="238"/>
      <c r="N231" s="238"/>
      <c r="O231" s="238"/>
      <c r="P231" s="238"/>
      <c r="Q231" s="238"/>
      <c r="R231" s="238"/>
      <c r="S231" s="238"/>
      <c r="T231" s="238"/>
      <c r="U231" s="238"/>
      <c r="V231" s="238"/>
      <c r="W231" s="239"/>
      <c r="X231" s="294" t="s">
        <v>45</v>
      </c>
      <c r="Y231" s="295"/>
      <c r="Z231" s="295"/>
      <c r="AA231" s="295"/>
      <c r="AB231" s="296" t="str">
        <f>график!C35</f>
        <v>сен 2024</v>
      </c>
      <c r="AC231" s="297"/>
      <c r="AD231" s="297"/>
      <c r="AE231" s="297"/>
      <c r="AF231" s="297"/>
      <c r="AG231" s="203" t="s">
        <v>1</v>
      </c>
      <c r="AH231" s="298" t="str">
        <f>график!E35</f>
        <v>янв 2025</v>
      </c>
      <c r="AI231" s="299"/>
      <c r="AJ231" s="299"/>
      <c r="AK231" s="299"/>
      <c r="AL231" s="299"/>
      <c r="AM231" s="300" t="s">
        <v>177</v>
      </c>
      <c r="AN231" s="300"/>
      <c r="AO231" s="204" t="s">
        <v>28</v>
      </c>
      <c r="AP231" s="301">
        <f>график!F35</f>
        <v>1.1177999999999999</v>
      </c>
      <c r="AQ231" s="301"/>
      <c r="AR231" s="301"/>
      <c r="AS231" s="301"/>
      <c r="AT231" s="300" t="s">
        <v>178</v>
      </c>
      <c r="AU231" s="300"/>
      <c r="AV231" s="204" t="s">
        <v>28</v>
      </c>
      <c r="AW231" s="302">
        <f>график!G35</f>
        <v>1.0386</v>
      </c>
      <c r="AX231" s="302"/>
      <c r="AY231" s="302"/>
      <c r="AZ231" s="303"/>
      <c r="BA231" s="214"/>
      <c r="BB231" s="215"/>
      <c r="BC231" s="215"/>
      <c r="BD231" s="215"/>
      <c r="BE231" s="215"/>
      <c r="BF231" s="215"/>
      <c r="BG231" s="215"/>
      <c r="BH231" s="2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  <c r="CJ231" s="116"/>
      <c r="CK231" s="116"/>
      <c r="CL231" s="116"/>
      <c r="CM231" s="116"/>
      <c r="CN231" s="116"/>
      <c r="CO231" s="116"/>
      <c r="CP231" s="116"/>
      <c r="CQ231" s="116"/>
      <c r="CR231" s="116"/>
      <c r="CS231" s="116"/>
      <c r="CT231" s="116"/>
      <c r="CU231" s="116"/>
      <c r="CV231" s="116"/>
      <c r="CW231" s="116"/>
      <c r="CX231" s="116"/>
      <c r="CY231" s="116"/>
      <c r="CZ231" s="116"/>
      <c r="DA231" s="116"/>
      <c r="DB231" s="148"/>
    </row>
    <row r="232" spans="1:106" s="117" customFormat="1" ht="12" customHeight="1" x14ac:dyDescent="0.2">
      <c r="A232" s="270" t="s">
        <v>245</v>
      </c>
      <c r="B232" s="271"/>
      <c r="C232" s="271"/>
      <c r="D232" s="271"/>
      <c r="E232" s="271"/>
      <c r="F232" s="271"/>
      <c r="G232" s="271"/>
      <c r="H232" s="271"/>
      <c r="I232" s="271"/>
      <c r="J232" s="271"/>
      <c r="K232" s="271"/>
      <c r="L232" s="271"/>
      <c r="M232" s="271"/>
      <c r="N232" s="271"/>
      <c r="O232" s="271"/>
      <c r="P232" s="271"/>
      <c r="Q232" s="271"/>
      <c r="R232" s="271"/>
      <c r="S232" s="271"/>
      <c r="T232" s="271"/>
      <c r="U232" s="271"/>
      <c r="V232" s="271"/>
      <c r="W232" s="272"/>
      <c r="X232" s="273" t="s">
        <v>39</v>
      </c>
      <c r="Y232" s="274"/>
      <c r="Z232" s="274"/>
      <c r="AA232" s="46" t="s">
        <v>28</v>
      </c>
      <c r="AB232" s="217">
        <v>100</v>
      </c>
      <c r="AC232" s="217"/>
      <c r="AD232" s="217"/>
      <c r="AE232" s="217"/>
      <c r="AF232" s="282" t="s">
        <v>40</v>
      </c>
      <c r="AG232" s="274"/>
      <c r="AH232" s="274"/>
      <c r="AI232" s="274"/>
      <c r="AJ232" s="274"/>
      <c r="AK232" s="46" t="s">
        <v>28</v>
      </c>
      <c r="AL232" s="283">
        <v>1.48</v>
      </c>
      <c r="AM232" s="284"/>
      <c r="AN232" s="284"/>
      <c r="AO232" s="284"/>
      <c r="AP232" s="284"/>
      <c r="AQ232" s="288"/>
      <c r="AR232" s="288"/>
      <c r="AS232" s="209"/>
      <c r="AT232" s="209"/>
      <c r="AU232" s="209"/>
      <c r="AV232" s="127"/>
      <c r="AW232" s="315"/>
      <c r="AX232" s="217"/>
      <c r="AY232" s="217"/>
      <c r="AZ232" s="218"/>
      <c r="BA232" s="219"/>
      <c r="BB232" s="220"/>
      <c r="BC232" s="220"/>
      <c r="BD232" s="220"/>
      <c r="BE232" s="220"/>
      <c r="BF232" s="221"/>
      <c r="BG232" s="221"/>
      <c r="BH232" s="222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  <c r="CJ232" s="116"/>
      <c r="CK232" s="116"/>
      <c r="CL232" s="116"/>
      <c r="CM232" s="116"/>
      <c r="CN232" s="116"/>
      <c r="CO232" s="116"/>
      <c r="CP232" s="116"/>
      <c r="CQ232" s="116"/>
      <c r="CR232" s="116"/>
      <c r="CS232" s="116"/>
      <c r="CT232" s="116"/>
      <c r="CU232" s="116"/>
      <c r="CV232" s="116"/>
      <c r="CW232" s="116"/>
      <c r="CX232" s="116"/>
      <c r="CY232" s="116"/>
      <c r="CZ232" s="116"/>
      <c r="DA232" s="116"/>
      <c r="DB232" s="148"/>
    </row>
    <row r="233" spans="1:106" s="117" customFormat="1" ht="12" customHeight="1" x14ac:dyDescent="0.2">
      <c r="A233" s="270"/>
      <c r="B233" s="271"/>
      <c r="C233" s="271"/>
      <c r="D233" s="271"/>
      <c r="E233" s="271"/>
      <c r="F233" s="271"/>
      <c r="G233" s="271"/>
      <c r="H233" s="271"/>
      <c r="I233" s="271"/>
      <c r="J233" s="271"/>
      <c r="K233" s="271"/>
      <c r="L233" s="271"/>
      <c r="M233" s="271"/>
      <c r="N233" s="271"/>
      <c r="O233" s="271"/>
      <c r="P233" s="271"/>
      <c r="Q233" s="271"/>
      <c r="R233" s="271"/>
      <c r="S233" s="271"/>
      <c r="T233" s="271"/>
      <c r="U233" s="271"/>
      <c r="V233" s="271"/>
      <c r="W233" s="272"/>
      <c r="X233" s="273" t="s">
        <v>43</v>
      </c>
      <c r="Y233" s="274"/>
      <c r="Z233" s="274"/>
      <c r="AA233" s="46" t="s">
        <v>28</v>
      </c>
      <c r="AB233" s="217">
        <v>300</v>
      </c>
      <c r="AC233" s="217"/>
      <c r="AD233" s="217"/>
      <c r="AE233" s="217"/>
      <c r="AF233" s="282" t="s">
        <v>44</v>
      </c>
      <c r="AG233" s="274"/>
      <c r="AH233" s="274"/>
      <c r="AI233" s="274"/>
      <c r="AJ233" s="274"/>
      <c r="AK233" s="46" t="s">
        <v>28</v>
      </c>
      <c r="AL233" s="283">
        <v>3.43</v>
      </c>
      <c r="AM233" s="284"/>
      <c r="AN233" s="284"/>
      <c r="AO233" s="284"/>
      <c r="AP233" s="284"/>
      <c r="AQ233" s="137"/>
      <c r="AR233" s="137"/>
      <c r="AS233" s="137"/>
      <c r="AT233" s="137"/>
      <c r="AU233" s="137"/>
      <c r="AV233" s="137"/>
      <c r="AW233" s="137"/>
      <c r="AX233" s="137"/>
      <c r="AY233" s="137"/>
      <c r="AZ233" s="166"/>
      <c r="BA233" s="219"/>
      <c r="BB233" s="220"/>
      <c r="BC233" s="220"/>
      <c r="BD233" s="220"/>
      <c r="BE233" s="220"/>
      <c r="BF233" s="221"/>
      <c r="BG233" s="221"/>
      <c r="BH233" s="222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  <c r="CJ233" s="116"/>
      <c r="CK233" s="116"/>
      <c r="CL233" s="116"/>
      <c r="CM233" s="116"/>
      <c r="CN233" s="116"/>
      <c r="CO233" s="116"/>
      <c r="CP233" s="116"/>
      <c r="CQ233" s="116"/>
      <c r="CR233" s="116"/>
      <c r="CS233" s="116"/>
      <c r="CT233" s="116"/>
      <c r="CU233" s="116"/>
      <c r="CV233" s="116"/>
      <c r="CW233" s="116"/>
      <c r="CX233" s="116"/>
      <c r="CY233" s="116"/>
      <c r="CZ233" s="116"/>
      <c r="DA233" s="116"/>
      <c r="DB233" s="148"/>
    </row>
    <row r="234" spans="1:106" s="117" customFormat="1" ht="12" customHeight="1" x14ac:dyDescent="0.2">
      <c r="A234" s="270"/>
      <c r="B234" s="271"/>
      <c r="C234" s="271"/>
      <c r="D234" s="271"/>
      <c r="E234" s="271"/>
      <c r="F234" s="271"/>
      <c r="G234" s="271"/>
      <c r="H234" s="271"/>
      <c r="I234" s="271"/>
      <c r="J234" s="271"/>
      <c r="K234" s="271"/>
      <c r="L234" s="271"/>
      <c r="M234" s="271"/>
      <c r="N234" s="271"/>
      <c r="O234" s="271"/>
      <c r="P234" s="271"/>
      <c r="Q234" s="271"/>
      <c r="R234" s="271"/>
      <c r="S234" s="271"/>
      <c r="T234" s="271"/>
      <c r="U234" s="271"/>
      <c r="V234" s="271"/>
      <c r="W234" s="272"/>
      <c r="X234" s="259" t="s">
        <v>22</v>
      </c>
      <c r="Y234" s="260"/>
      <c r="Z234" s="260"/>
      <c r="AA234" s="123" t="s">
        <v>28</v>
      </c>
      <c r="AB234" s="217" t="str">
        <f>CONCATENATE(AL232," + [(",AL233," - ", AL232,") / (",AB233," - ", AB232,")] x (",D238," - ",AB232,")  = ")</f>
        <v xml:space="preserve">1,48 + [(3,43 - 1,48) / (300 - 100)] x (107 - 100)  = </v>
      </c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  <c r="AN234" s="217"/>
      <c r="AO234" s="217"/>
      <c r="AP234" s="217"/>
      <c r="AQ234" s="217"/>
      <c r="AR234" s="217"/>
      <c r="AS234" s="217"/>
      <c r="AT234" s="217"/>
      <c r="AU234" s="217"/>
      <c r="AV234" s="217"/>
      <c r="AW234" s="217"/>
      <c r="AX234" s="217"/>
      <c r="AY234" s="217"/>
      <c r="AZ234" s="218"/>
      <c r="BA234" s="219">
        <f>ROUND(AL232 + ((AL233-AL232) / (AB233-AB232)) * (D238-AB232),2)</f>
        <v>1.55</v>
      </c>
      <c r="BB234" s="220"/>
      <c r="BC234" s="220"/>
      <c r="BD234" s="220"/>
      <c r="BE234" s="220"/>
      <c r="BF234" s="221" t="s">
        <v>182</v>
      </c>
      <c r="BG234" s="221"/>
      <c r="BH234" s="222"/>
      <c r="BI234" s="116"/>
      <c r="BJ234" s="175" t="s">
        <v>190</v>
      </c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  <c r="CJ234" s="116"/>
      <c r="CK234" s="116"/>
      <c r="CL234" s="116"/>
      <c r="CM234" s="116"/>
      <c r="CN234" s="116"/>
      <c r="CO234" s="116"/>
      <c r="CP234" s="116"/>
      <c r="CQ234" s="116"/>
      <c r="CR234" s="116"/>
      <c r="CS234" s="116"/>
      <c r="CT234" s="116"/>
      <c r="CU234" s="116"/>
      <c r="CV234" s="116"/>
      <c r="CW234" s="116"/>
      <c r="CX234" s="116"/>
      <c r="CY234" s="116"/>
      <c r="CZ234" s="116"/>
      <c r="DA234" s="116"/>
      <c r="DB234" s="148"/>
    </row>
    <row r="235" spans="1:106" s="117" customFormat="1" ht="12" customHeight="1" x14ac:dyDescent="0.25">
      <c r="A235" s="285" t="s">
        <v>248</v>
      </c>
      <c r="B235" s="286"/>
      <c r="C235" s="286"/>
      <c r="D235" s="286"/>
      <c r="E235" s="286"/>
      <c r="F235" s="286"/>
      <c r="G235" s="286"/>
      <c r="H235" s="286"/>
      <c r="I235" s="286"/>
      <c r="J235" s="286"/>
      <c r="K235" s="286"/>
      <c r="L235" s="286"/>
      <c r="M235" s="286"/>
      <c r="N235" s="286"/>
      <c r="O235" s="286"/>
      <c r="P235" s="286"/>
      <c r="Q235" s="286"/>
      <c r="R235" s="286"/>
      <c r="S235" s="286"/>
      <c r="T235" s="286"/>
      <c r="U235" s="286"/>
      <c r="V235" s="286"/>
      <c r="W235" s="287"/>
      <c r="X235" s="273" t="s">
        <v>249</v>
      </c>
      <c r="Y235" s="274"/>
      <c r="Z235" s="274"/>
      <c r="AA235" s="46" t="s">
        <v>28</v>
      </c>
      <c r="AB235" s="208">
        <v>1.1000000000000001</v>
      </c>
      <c r="AC235" s="208"/>
      <c r="AD235" s="208"/>
      <c r="AE235" s="288" t="s">
        <v>203</v>
      </c>
      <c r="AF235" s="288"/>
      <c r="AG235" s="127" t="s">
        <v>28</v>
      </c>
      <c r="AH235" s="207">
        <v>60</v>
      </c>
      <c r="AI235" s="207"/>
      <c r="AJ235" s="207"/>
      <c r="AK235" s="282" t="s">
        <v>208</v>
      </c>
      <c r="AL235" s="282"/>
      <c r="AM235" s="46" t="s">
        <v>28</v>
      </c>
      <c r="AN235" s="217" t="str">
        <f>CONCATENATE("1 + (",AB235," - 1) x ",AH235," / ",D238)</f>
        <v>1 + (1,1 - 1) x 60 / 107</v>
      </c>
      <c r="AO235" s="217"/>
      <c r="AP235" s="217"/>
      <c r="AQ235" s="217"/>
      <c r="AR235" s="217"/>
      <c r="AS235" s="217"/>
      <c r="AT235" s="217"/>
      <c r="AU235" s="217"/>
      <c r="AV235" s="217"/>
      <c r="AW235" s="217"/>
      <c r="AX235" s="217"/>
      <c r="AY235" s="217"/>
      <c r="AZ235" s="139" t="s">
        <v>28</v>
      </c>
      <c r="BA235" s="289">
        <f>ROUND(1 + (AB235 - 1) *(AH235 / D238),2)</f>
        <v>1.06</v>
      </c>
      <c r="BB235" s="290"/>
      <c r="BC235" s="290"/>
      <c r="BD235" s="290"/>
      <c r="BE235" s="290"/>
      <c r="BF235" s="129"/>
      <c r="BG235" s="129"/>
      <c r="BH235" s="130"/>
      <c r="BI235" s="116"/>
      <c r="BJ235" s="116"/>
      <c r="BK235" s="116"/>
      <c r="BL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  <c r="CJ235" s="116"/>
      <c r="CK235" s="116"/>
      <c r="CL235" s="116"/>
      <c r="CM235" s="116"/>
      <c r="CN235" s="116"/>
      <c r="CO235" s="116"/>
      <c r="CP235" s="116"/>
      <c r="CQ235" s="116"/>
      <c r="CR235" s="116"/>
      <c r="CS235" s="116"/>
      <c r="CT235" s="116"/>
      <c r="CU235" s="116"/>
      <c r="CV235" s="116"/>
      <c r="CW235" s="116"/>
      <c r="CX235" s="116"/>
      <c r="CY235" s="116"/>
      <c r="CZ235" s="116"/>
      <c r="DA235" s="116"/>
      <c r="DB235" s="148"/>
    </row>
    <row r="236" spans="1:106" s="117" customFormat="1" ht="12" customHeight="1" x14ac:dyDescent="0.25">
      <c r="A236" s="285" t="s">
        <v>247</v>
      </c>
      <c r="B236" s="286"/>
      <c r="C236" s="286"/>
      <c r="D236" s="286"/>
      <c r="E236" s="286"/>
      <c r="F236" s="286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  <c r="W236" s="287"/>
      <c r="X236" s="273" t="s">
        <v>202</v>
      </c>
      <c r="Y236" s="274"/>
      <c r="Z236" s="274"/>
      <c r="AA236" s="46" t="s">
        <v>28</v>
      </c>
      <c r="AB236" s="208">
        <v>1.2</v>
      </c>
      <c r="AC236" s="208"/>
      <c r="AD236" s="208"/>
      <c r="AE236" s="288" t="s">
        <v>203</v>
      </c>
      <c r="AF236" s="288"/>
      <c r="AG236" s="127" t="s">
        <v>28</v>
      </c>
      <c r="AH236" s="207">
        <v>100</v>
      </c>
      <c r="AI236" s="207"/>
      <c r="AJ236" s="207"/>
      <c r="AK236" s="282" t="s">
        <v>208</v>
      </c>
      <c r="AL236" s="282"/>
      <c r="AM236" s="46" t="s">
        <v>28</v>
      </c>
      <c r="AN236" s="217" t="str">
        <f>CONCATENATE("1 + (1 - ",AB236,") x ",AH236," / ",D238)</f>
        <v>1 + (1 - 1,2) x 100 / 107</v>
      </c>
      <c r="AO236" s="217"/>
      <c r="AP236" s="217"/>
      <c r="AQ236" s="217"/>
      <c r="AR236" s="217"/>
      <c r="AS236" s="217"/>
      <c r="AT236" s="217"/>
      <c r="AU236" s="217"/>
      <c r="AV236" s="217"/>
      <c r="AW236" s="217"/>
      <c r="AX236" s="217"/>
      <c r="AY236" s="217"/>
      <c r="AZ236" s="139" t="s">
        <v>28</v>
      </c>
      <c r="BA236" s="289">
        <f>ROUND(1 + (AB236 - 1) *(AH236 / D238),2)</f>
        <v>1.19</v>
      </c>
      <c r="BB236" s="290"/>
      <c r="BC236" s="290"/>
      <c r="BD236" s="290"/>
      <c r="BE236" s="290"/>
      <c r="BF236" s="129"/>
      <c r="BG236" s="129"/>
      <c r="BH236" s="130"/>
      <c r="BI236" s="116"/>
      <c r="BJ236" s="183">
        <f>(1+(BA235-1)+(BA236-1))</f>
        <v>1.25</v>
      </c>
      <c r="BK236" s="116"/>
      <c r="BL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  <c r="CJ236" s="116"/>
      <c r="CK236" s="116"/>
      <c r="CL236" s="116"/>
      <c r="CM236" s="116"/>
      <c r="CN236" s="116"/>
      <c r="CO236" s="116"/>
      <c r="CP236" s="116"/>
      <c r="CQ236" s="116"/>
      <c r="CR236" s="116"/>
      <c r="CS236" s="116"/>
      <c r="CT236" s="116"/>
      <c r="CU236" s="116"/>
      <c r="CV236" s="116"/>
      <c r="CW236" s="116"/>
      <c r="CX236" s="116"/>
      <c r="CY236" s="116"/>
      <c r="CZ236" s="116"/>
      <c r="DA236" s="116"/>
      <c r="DB236" s="148"/>
    </row>
    <row r="237" spans="1:106" s="117" customFormat="1" ht="12" customHeight="1" x14ac:dyDescent="0.2">
      <c r="A237" s="160"/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2"/>
      <c r="X237" s="259" t="s">
        <v>209</v>
      </c>
      <c r="Y237" s="260"/>
      <c r="Z237" s="260"/>
      <c r="AA237" s="123" t="s">
        <v>28</v>
      </c>
      <c r="AB237" s="217" t="str">
        <f>CONCATENATE(BA234," x [1 + (",BA235," - 1) + (",BA236," - 1)] = ",BA234," x ",BJ236," = ")</f>
        <v xml:space="preserve">1,55 x [1 + (1,06 - 1) + (1,19 - 1)] = 1,55 x 1,25 = </v>
      </c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17"/>
      <c r="AT237" s="217"/>
      <c r="AU237" s="217"/>
      <c r="AV237" s="217"/>
      <c r="AW237" s="217"/>
      <c r="AX237" s="217"/>
      <c r="AY237" s="217"/>
      <c r="AZ237" s="218"/>
      <c r="BA237" s="219">
        <f>ROUND(BA234*BJ236,2)</f>
        <v>1.94</v>
      </c>
      <c r="BB237" s="220"/>
      <c r="BC237" s="220"/>
      <c r="BD237" s="220"/>
      <c r="BE237" s="220"/>
      <c r="BF237" s="221" t="s">
        <v>182</v>
      </c>
      <c r="BG237" s="221"/>
      <c r="BH237" s="222"/>
      <c r="BI237" s="116"/>
      <c r="BJ237" s="175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  <c r="CJ237" s="116"/>
      <c r="CK237" s="116"/>
      <c r="CL237" s="116"/>
      <c r="CM237" s="116"/>
      <c r="CN237" s="116"/>
      <c r="CO237" s="116"/>
      <c r="CP237" s="116"/>
      <c r="CQ237" s="116"/>
      <c r="CR237" s="116"/>
      <c r="CS237" s="116"/>
      <c r="CT237" s="116"/>
      <c r="CU237" s="116"/>
      <c r="CV237" s="116"/>
      <c r="CW237" s="116"/>
      <c r="CX237" s="116"/>
      <c r="CY237" s="116"/>
      <c r="CZ237" s="116"/>
      <c r="DA237" s="116"/>
      <c r="DB237" s="148"/>
    </row>
    <row r="238" spans="1:106" s="117" customFormat="1" ht="12" customHeight="1" x14ac:dyDescent="0.25">
      <c r="A238" s="223" t="s">
        <v>189</v>
      </c>
      <c r="B238" s="224"/>
      <c r="C238" s="142" t="s">
        <v>28</v>
      </c>
      <c r="D238" s="225">
        <v>107</v>
      </c>
      <c r="E238" s="225"/>
      <c r="F238" s="225"/>
      <c r="G238" s="225"/>
      <c r="H238" s="225"/>
      <c r="I238" s="226" t="s">
        <v>254</v>
      </c>
      <c r="J238" s="226"/>
      <c r="K238" s="226"/>
      <c r="L238" s="226"/>
      <c r="M238" s="226"/>
      <c r="N238" s="226"/>
      <c r="O238" s="149"/>
      <c r="P238" s="149"/>
      <c r="Q238" s="149"/>
      <c r="R238" s="224"/>
      <c r="S238" s="224"/>
      <c r="T238" s="142"/>
      <c r="U238" s="227"/>
      <c r="V238" s="226"/>
      <c r="W238" s="228"/>
      <c r="X238" s="229" t="s">
        <v>181</v>
      </c>
      <c r="Y238" s="230"/>
      <c r="Z238" s="230"/>
      <c r="AA238" s="126" t="s">
        <v>28</v>
      </c>
      <c r="AB238" s="231" t="str">
        <f>CONCATENATE(BA237," x ",$AO$17," x ", AP231," x [1 + 0,5 x (",AW231," - 1)]  = ")</f>
        <v xml:space="preserve">1,94 x 307,7 x 1,1178 x [1 + 0,5 x (1,0386 - 1)]  = </v>
      </c>
      <c r="AC238" s="231"/>
      <c r="AD238" s="231"/>
      <c r="AE238" s="231"/>
      <c r="AF238" s="231"/>
      <c r="AG238" s="231"/>
      <c r="AH238" s="231"/>
      <c r="AI238" s="231"/>
      <c r="AJ238" s="231"/>
      <c r="AK238" s="231"/>
      <c r="AL238" s="231"/>
      <c r="AM238" s="231"/>
      <c r="AN238" s="231"/>
      <c r="AO238" s="231"/>
      <c r="AP238" s="231"/>
      <c r="AQ238" s="231"/>
      <c r="AR238" s="231"/>
      <c r="AS238" s="231"/>
      <c r="AT238" s="231"/>
      <c r="AU238" s="231"/>
      <c r="AV238" s="231"/>
      <c r="AW238" s="231"/>
      <c r="AX238" s="231"/>
      <c r="AY238" s="231"/>
      <c r="AZ238" s="232"/>
      <c r="BA238" s="233">
        <f>ROUND(BA237*$AO$17*AP231*(1+0.5*(AW231-1)),2)</f>
        <v>680.14</v>
      </c>
      <c r="BB238" s="234"/>
      <c r="BC238" s="234"/>
      <c r="BD238" s="234"/>
      <c r="BE238" s="234"/>
      <c r="BF238" s="235" t="s">
        <v>23</v>
      </c>
      <c r="BG238" s="235"/>
      <c r="BH238" s="23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  <c r="CJ238" s="116"/>
      <c r="CK238" s="116"/>
      <c r="CL238" s="116"/>
      <c r="CM238" s="116"/>
      <c r="CN238" s="116"/>
      <c r="CO238" s="116"/>
      <c r="CP238" s="116"/>
      <c r="CQ238" s="116"/>
      <c r="CR238" s="116"/>
      <c r="CS238" s="116"/>
      <c r="CT238" s="116"/>
      <c r="CU238" s="116"/>
      <c r="CV238" s="116"/>
      <c r="CW238" s="116"/>
      <c r="CX238" s="116"/>
      <c r="CY238" s="116"/>
      <c r="CZ238" s="116"/>
      <c r="DA238" s="116"/>
      <c r="DB238" s="148"/>
    </row>
    <row r="239" spans="1:106" s="117" customFormat="1" ht="12" customHeight="1" x14ac:dyDescent="0.25">
      <c r="A239" s="237" t="s">
        <v>259</v>
      </c>
      <c r="B239" s="238"/>
      <c r="C239" s="238"/>
      <c r="D239" s="238"/>
      <c r="E239" s="238"/>
      <c r="F239" s="238"/>
      <c r="G239" s="238"/>
      <c r="H239" s="238"/>
      <c r="I239" s="238"/>
      <c r="J239" s="238"/>
      <c r="K239" s="238"/>
      <c r="L239" s="238"/>
      <c r="M239" s="238"/>
      <c r="N239" s="238"/>
      <c r="O239" s="238"/>
      <c r="P239" s="238"/>
      <c r="Q239" s="238"/>
      <c r="R239" s="238"/>
      <c r="S239" s="238"/>
      <c r="T239" s="238"/>
      <c r="U239" s="238"/>
      <c r="V239" s="238"/>
      <c r="W239" s="239"/>
      <c r="X239" s="275" t="s">
        <v>45</v>
      </c>
      <c r="Y239" s="276"/>
      <c r="Z239" s="276"/>
      <c r="AA239" s="276"/>
      <c r="AB239" s="277" t="str">
        <f>график!C35</f>
        <v>сен 2024</v>
      </c>
      <c r="AC239" s="278"/>
      <c r="AD239" s="278"/>
      <c r="AE239" s="278"/>
      <c r="AF239" s="278"/>
      <c r="AG239" s="122" t="s">
        <v>1</v>
      </c>
      <c r="AH239" s="279" t="str">
        <f>график!E35</f>
        <v>янв 2025</v>
      </c>
      <c r="AI239" s="280"/>
      <c r="AJ239" s="280"/>
      <c r="AK239" s="280"/>
      <c r="AL239" s="280"/>
      <c r="AM239" s="211" t="s">
        <v>177</v>
      </c>
      <c r="AN239" s="211"/>
      <c r="AO239" s="120" t="s">
        <v>28</v>
      </c>
      <c r="AP239" s="281">
        <f>график!F35</f>
        <v>1.1177999999999999</v>
      </c>
      <c r="AQ239" s="281"/>
      <c r="AR239" s="281"/>
      <c r="AS239" s="281"/>
      <c r="AT239" s="211" t="s">
        <v>178</v>
      </c>
      <c r="AU239" s="211"/>
      <c r="AV239" s="120" t="s">
        <v>28</v>
      </c>
      <c r="AW239" s="212">
        <f>график!G35</f>
        <v>1.0386</v>
      </c>
      <c r="AX239" s="212"/>
      <c r="AY239" s="212"/>
      <c r="AZ239" s="213"/>
      <c r="BA239" s="214"/>
      <c r="BB239" s="215"/>
      <c r="BC239" s="215"/>
      <c r="BD239" s="215"/>
      <c r="BE239" s="215"/>
      <c r="BF239" s="215"/>
      <c r="BG239" s="215"/>
      <c r="BH239" s="2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  <c r="CJ239" s="116"/>
      <c r="CK239" s="116"/>
      <c r="CL239" s="116"/>
      <c r="CM239" s="116"/>
      <c r="CN239" s="116"/>
      <c r="CO239" s="116"/>
      <c r="CP239" s="116"/>
      <c r="CQ239" s="116"/>
      <c r="CR239" s="116"/>
      <c r="CS239" s="116"/>
      <c r="CT239" s="116"/>
      <c r="CU239" s="116"/>
      <c r="CV239" s="116"/>
      <c r="CW239" s="116"/>
      <c r="CX239" s="116"/>
      <c r="CY239" s="116"/>
      <c r="CZ239" s="116"/>
      <c r="DA239" s="116"/>
      <c r="DB239" s="148"/>
    </row>
    <row r="240" spans="1:106" s="117" customFormat="1" ht="12" customHeight="1" x14ac:dyDescent="0.2">
      <c r="A240" s="270" t="s">
        <v>251</v>
      </c>
      <c r="B240" s="271"/>
      <c r="C240" s="271"/>
      <c r="D240" s="271"/>
      <c r="E240" s="271"/>
      <c r="F240" s="271"/>
      <c r="G240" s="271"/>
      <c r="H240" s="271"/>
      <c r="I240" s="271"/>
      <c r="J240" s="271"/>
      <c r="K240" s="271"/>
      <c r="L240" s="271"/>
      <c r="M240" s="271"/>
      <c r="N240" s="271"/>
      <c r="O240" s="271"/>
      <c r="P240" s="271"/>
      <c r="Q240" s="271"/>
      <c r="R240" s="271"/>
      <c r="S240" s="271"/>
      <c r="T240" s="271"/>
      <c r="U240" s="271"/>
      <c r="V240" s="271"/>
      <c r="W240" s="272"/>
      <c r="X240" s="273" t="s">
        <v>39</v>
      </c>
      <c r="Y240" s="274"/>
      <c r="Z240" s="274"/>
      <c r="AA240" s="46" t="s">
        <v>28</v>
      </c>
      <c r="AB240" s="208">
        <v>0.5</v>
      </c>
      <c r="AC240" s="208"/>
      <c r="AD240" s="208"/>
      <c r="AE240" s="208"/>
      <c r="AF240" s="282" t="s">
        <v>40</v>
      </c>
      <c r="AG240" s="274"/>
      <c r="AH240" s="274"/>
      <c r="AI240" s="274"/>
      <c r="AJ240" s="274"/>
      <c r="AK240" s="46" t="s">
        <v>28</v>
      </c>
      <c r="AL240" s="257">
        <v>5</v>
      </c>
      <c r="AM240" s="258"/>
      <c r="AN240" s="258"/>
      <c r="AO240" s="258"/>
      <c r="AP240" s="258"/>
      <c r="AQ240" s="288"/>
      <c r="AR240" s="288"/>
      <c r="AS240" s="209"/>
      <c r="AT240" s="209"/>
      <c r="AU240" s="209"/>
      <c r="AV240" s="127"/>
      <c r="AW240" s="315"/>
      <c r="AX240" s="217"/>
      <c r="AY240" s="217"/>
      <c r="AZ240" s="218"/>
      <c r="BA240" s="219"/>
      <c r="BB240" s="220"/>
      <c r="BC240" s="220"/>
      <c r="BD240" s="220"/>
      <c r="BE240" s="220"/>
      <c r="BF240" s="221"/>
      <c r="BG240" s="221"/>
      <c r="BH240" s="222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  <c r="CJ240" s="116"/>
      <c r="CK240" s="116"/>
      <c r="CL240" s="116"/>
      <c r="CM240" s="116"/>
      <c r="CN240" s="116"/>
      <c r="CO240" s="116"/>
      <c r="CP240" s="116"/>
      <c r="CQ240" s="116"/>
      <c r="CR240" s="116"/>
      <c r="CS240" s="116"/>
      <c r="CT240" s="116"/>
      <c r="CU240" s="116"/>
      <c r="CV240" s="116"/>
      <c r="CW240" s="116"/>
      <c r="CX240" s="116"/>
      <c r="CY240" s="116"/>
      <c r="CZ240" s="116"/>
      <c r="DA240" s="116"/>
      <c r="DB240" s="148"/>
    </row>
    <row r="241" spans="1:106" s="117" customFormat="1" ht="12" customHeight="1" x14ac:dyDescent="0.2">
      <c r="A241" s="270"/>
      <c r="B241" s="271"/>
      <c r="C241" s="271"/>
      <c r="D241" s="271"/>
      <c r="E241" s="271"/>
      <c r="F241" s="271"/>
      <c r="G241" s="271"/>
      <c r="H241" s="271"/>
      <c r="I241" s="271"/>
      <c r="J241" s="271"/>
      <c r="K241" s="271"/>
      <c r="L241" s="271"/>
      <c r="M241" s="271"/>
      <c r="N241" s="271"/>
      <c r="O241" s="271"/>
      <c r="P241" s="271"/>
      <c r="Q241" s="271"/>
      <c r="R241" s="271"/>
      <c r="S241" s="271"/>
      <c r="T241" s="271"/>
      <c r="U241" s="271"/>
      <c r="V241" s="271"/>
      <c r="W241" s="272"/>
      <c r="X241" s="273" t="s">
        <v>43</v>
      </c>
      <c r="Y241" s="274"/>
      <c r="Z241" s="274"/>
      <c r="AA241" s="46" t="s">
        <v>28</v>
      </c>
      <c r="AB241" s="217">
        <v>1</v>
      </c>
      <c r="AC241" s="217"/>
      <c r="AD241" s="217"/>
      <c r="AE241" s="217"/>
      <c r="AF241" s="282" t="s">
        <v>44</v>
      </c>
      <c r="AG241" s="274"/>
      <c r="AH241" s="274"/>
      <c r="AI241" s="274"/>
      <c r="AJ241" s="274"/>
      <c r="AK241" s="46" t="s">
        <v>28</v>
      </c>
      <c r="AL241" s="257">
        <v>9.3000000000000007</v>
      </c>
      <c r="AM241" s="258"/>
      <c r="AN241" s="258"/>
      <c r="AO241" s="258"/>
      <c r="AP241" s="258"/>
      <c r="AQ241" s="137"/>
      <c r="AR241" s="137"/>
      <c r="AS241" s="137"/>
      <c r="AT241" s="137"/>
      <c r="AU241" s="137"/>
      <c r="AV241" s="137"/>
      <c r="AW241" s="137"/>
      <c r="AX241" s="137"/>
      <c r="AY241" s="137"/>
      <c r="AZ241" s="166"/>
      <c r="BA241" s="219"/>
      <c r="BB241" s="220"/>
      <c r="BC241" s="220"/>
      <c r="BD241" s="220"/>
      <c r="BE241" s="220"/>
      <c r="BF241" s="221"/>
      <c r="BG241" s="221"/>
      <c r="BH241" s="222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  <c r="CJ241" s="116"/>
      <c r="CK241" s="116"/>
      <c r="CL241" s="116"/>
      <c r="CM241" s="116"/>
      <c r="CN241" s="116"/>
      <c r="CO241" s="116"/>
      <c r="CP241" s="116"/>
      <c r="CQ241" s="116"/>
      <c r="CR241" s="116"/>
      <c r="CS241" s="116"/>
      <c r="CT241" s="116"/>
      <c r="CU241" s="116"/>
      <c r="CV241" s="116"/>
      <c r="CW241" s="116"/>
      <c r="CX241" s="116"/>
      <c r="CY241" s="116"/>
      <c r="CZ241" s="116"/>
      <c r="DA241" s="116"/>
      <c r="DB241" s="148"/>
    </row>
    <row r="242" spans="1:106" s="117" customFormat="1" ht="12" customHeight="1" x14ac:dyDescent="0.2">
      <c r="A242" s="270"/>
      <c r="B242" s="271"/>
      <c r="C242" s="271"/>
      <c r="D242" s="271"/>
      <c r="E242" s="271"/>
      <c r="F242" s="271"/>
      <c r="G242" s="271"/>
      <c r="H242" s="271"/>
      <c r="I242" s="271"/>
      <c r="J242" s="271"/>
      <c r="K242" s="271"/>
      <c r="L242" s="271"/>
      <c r="M242" s="271"/>
      <c r="N242" s="271"/>
      <c r="O242" s="271"/>
      <c r="P242" s="271"/>
      <c r="Q242" s="271"/>
      <c r="R242" s="271"/>
      <c r="S242" s="271"/>
      <c r="T242" s="271"/>
      <c r="U242" s="271"/>
      <c r="V242" s="271"/>
      <c r="W242" s="272"/>
      <c r="X242" s="259" t="s">
        <v>22</v>
      </c>
      <c r="Y242" s="260"/>
      <c r="Z242" s="260"/>
      <c r="AA242" s="123" t="s">
        <v>28</v>
      </c>
      <c r="AB242" s="217" t="str">
        <f>CONCATENATE(AL240," + [(",AL241," - ", AL240,") / (",AB241," - ", AB240,")] x (",D243," - ",AB240,")  = ")</f>
        <v xml:space="preserve">5 + [(9,3 - 5) / (1 - 0,5)] x (0,79 - 0,5)  = </v>
      </c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7"/>
      <c r="AU242" s="217"/>
      <c r="AV242" s="217"/>
      <c r="AW242" s="217"/>
      <c r="AX242" s="217"/>
      <c r="AY242" s="217"/>
      <c r="AZ242" s="218"/>
      <c r="BA242" s="219">
        <f>ROUND(AL240 + ((AL241-AL240) / (AB241-AB240)) * (D243-AB240),2)</f>
        <v>7.49</v>
      </c>
      <c r="BB242" s="220"/>
      <c r="BC242" s="220"/>
      <c r="BD242" s="220"/>
      <c r="BE242" s="220"/>
      <c r="BF242" s="221" t="s">
        <v>182</v>
      </c>
      <c r="BG242" s="221"/>
      <c r="BH242" s="222"/>
      <c r="BI242" s="116"/>
      <c r="BJ242" s="175" t="s">
        <v>190</v>
      </c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  <c r="CJ242" s="116"/>
      <c r="CK242" s="116"/>
      <c r="CL242" s="116"/>
      <c r="CM242" s="116"/>
      <c r="CN242" s="116"/>
      <c r="CO242" s="116"/>
      <c r="CP242" s="116"/>
      <c r="CQ242" s="116"/>
      <c r="CR242" s="116"/>
      <c r="CS242" s="116"/>
      <c r="CT242" s="116"/>
      <c r="CU242" s="116"/>
      <c r="CV242" s="116"/>
      <c r="CW242" s="116"/>
      <c r="CX242" s="116"/>
      <c r="CY242" s="116"/>
      <c r="CZ242" s="116"/>
      <c r="DA242" s="116"/>
      <c r="DB242" s="148"/>
    </row>
    <row r="243" spans="1:106" s="117" customFormat="1" ht="12" customHeight="1" x14ac:dyDescent="0.25">
      <c r="A243" s="223" t="s">
        <v>189</v>
      </c>
      <c r="B243" s="224"/>
      <c r="C243" s="142" t="s">
        <v>28</v>
      </c>
      <c r="D243" s="261">
        <v>0.79</v>
      </c>
      <c r="E243" s="261"/>
      <c r="F243" s="261"/>
      <c r="G243" s="261"/>
      <c r="H243" s="261"/>
      <c r="I243" s="226" t="s">
        <v>255</v>
      </c>
      <c r="J243" s="226"/>
      <c r="K243" s="226"/>
      <c r="L243" s="226"/>
      <c r="M243" s="226"/>
      <c r="N243" s="226"/>
      <c r="O243" s="149"/>
      <c r="P243" s="149"/>
      <c r="Q243" s="149"/>
      <c r="R243" s="224"/>
      <c r="S243" s="224"/>
      <c r="T243" s="142"/>
      <c r="U243" s="227"/>
      <c r="V243" s="226"/>
      <c r="W243" s="228"/>
      <c r="X243" s="229" t="s">
        <v>181</v>
      </c>
      <c r="Y243" s="230"/>
      <c r="Z243" s="230"/>
      <c r="AA243" s="126" t="s">
        <v>28</v>
      </c>
      <c r="AB243" s="231" t="str">
        <f>CONCATENATE(BA242," x ",$AO$17," x ", AP239," x [1 + 0,5 x (",AW239," - 1)]  = ")</f>
        <v xml:space="preserve">7,49 x 307,7 x 1,1178 x [1 + 0,5 x (1,0386 - 1)]  = </v>
      </c>
      <c r="AC243" s="231"/>
      <c r="AD243" s="231"/>
      <c r="AE243" s="231"/>
      <c r="AF243" s="231"/>
      <c r="AG243" s="231"/>
      <c r="AH243" s="231"/>
      <c r="AI243" s="231"/>
      <c r="AJ243" s="231"/>
      <c r="AK243" s="231"/>
      <c r="AL243" s="231"/>
      <c r="AM243" s="231"/>
      <c r="AN243" s="231"/>
      <c r="AO243" s="231"/>
      <c r="AP243" s="231"/>
      <c r="AQ243" s="231"/>
      <c r="AR243" s="231"/>
      <c r="AS243" s="231"/>
      <c r="AT243" s="231"/>
      <c r="AU243" s="231"/>
      <c r="AV243" s="231"/>
      <c r="AW243" s="231"/>
      <c r="AX243" s="231"/>
      <c r="AY243" s="231"/>
      <c r="AZ243" s="232"/>
      <c r="BA243" s="233">
        <f>ROUND(BA242*$AO$17*AP239*(1+0.5*(AW239-1)),2)</f>
        <v>2625.88</v>
      </c>
      <c r="BB243" s="234"/>
      <c r="BC243" s="234"/>
      <c r="BD243" s="234"/>
      <c r="BE243" s="234"/>
      <c r="BF243" s="235" t="s">
        <v>23</v>
      </c>
      <c r="BG243" s="235"/>
      <c r="BH243" s="23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  <c r="CJ243" s="116"/>
      <c r="CK243" s="116"/>
      <c r="CL243" s="116"/>
      <c r="CM243" s="116"/>
      <c r="CN243" s="116"/>
      <c r="CO243" s="116"/>
      <c r="CP243" s="116"/>
      <c r="CQ243" s="116"/>
      <c r="CR243" s="116"/>
      <c r="CS243" s="116"/>
      <c r="CT243" s="116"/>
      <c r="CU243" s="116"/>
      <c r="CV243" s="116"/>
      <c r="CW243" s="116"/>
      <c r="CX243" s="116"/>
      <c r="CY243" s="116"/>
      <c r="CZ243" s="116"/>
      <c r="DA243" s="116"/>
      <c r="DB243" s="148"/>
    </row>
    <row r="244" spans="1:106" ht="12" customHeight="1" x14ac:dyDescent="0.2">
      <c r="A244" s="132" t="s">
        <v>240</v>
      </c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  <c r="AF244" s="133"/>
      <c r="AG244" s="133"/>
      <c r="AH244" s="133"/>
      <c r="AI244" s="133"/>
      <c r="AJ244" s="133"/>
      <c r="AK244" s="134"/>
      <c r="AL244" s="134"/>
      <c r="AM244" s="134"/>
      <c r="AN244" s="134"/>
      <c r="AO244" s="134"/>
      <c r="AP244" s="134"/>
      <c r="AQ244" s="135"/>
      <c r="AR244" s="136"/>
      <c r="AS244" s="135"/>
      <c r="AT244" s="135"/>
      <c r="AU244" s="135"/>
      <c r="AV244" s="135"/>
      <c r="AW244" s="240" t="s">
        <v>22</v>
      </c>
      <c r="AX244" s="240"/>
      <c r="AY244" s="240"/>
      <c r="AZ244" s="188" t="s">
        <v>28</v>
      </c>
      <c r="BA244" s="241">
        <f>BA229+BA237+BA242</f>
        <v>97.839999999999989</v>
      </c>
      <c r="BB244" s="241"/>
      <c r="BC244" s="241"/>
      <c r="BD244" s="241"/>
      <c r="BE244" s="241"/>
      <c r="BF244" s="189" t="s">
        <v>182</v>
      </c>
      <c r="BG244" s="189"/>
      <c r="BH244" s="190"/>
    </row>
    <row r="245" spans="1:106" s="117" customFormat="1" ht="12" customHeight="1" x14ac:dyDescent="0.2">
      <c r="A245" s="262" t="s">
        <v>179</v>
      </c>
      <c r="B245" s="263"/>
      <c r="C245" s="263"/>
      <c r="D245" s="263"/>
      <c r="E245" s="263"/>
      <c r="F245" s="263"/>
      <c r="G245" s="263"/>
      <c r="H245" s="263"/>
      <c r="I245" s="263"/>
      <c r="J245" s="263"/>
      <c r="K245" s="263"/>
      <c r="L245" s="263"/>
      <c r="M245" s="263"/>
      <c r="N245" s="263"/>
      <c r="O245" s="263"/>
      <c r="P245" s="263"/>
      <c r="Q245" s="263"/>
      <c r="R245" s="263"/>
      <c r="S245" s="263"/>
      <c r="T245" s="263"/>
      <c r="U245" s="263"/>
      <c r="V245" s="263"/>
      <c r="W245" s="263"/>
      <c r="X245" s="140"/>
      <c r="Y245" s="140"/>
      <c r="Z245" s="140"/>
      <c r="AA245" s="140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143"/>
      <c r="AP245" s="143"/>
      <c r="AQ245" s="143"/>
      <c r="AR245" s="143"/>
      <c r="AS245" s="143"/>
      <c r="AT245" s="144"/>
      <c r="AU245" s="144"/>
      <c r="AV245" s="145"/>
      <c r="AW245" s="264" t="s">
        <v>186</v>
      </c>
      <c r="AX245" s="264"/>
      <c r="AY245" s="264"/>
      <c r="AZ245" s="141" t="s">
        <v>28</v>
      </c>
      <c r="BA245" s="265">
        <f>BA230+BA238+BA243</f>
        <v>34301.26</v>
      </c>
      <c r="BB245" s="265"/>
      <c r="BC245" s="265"/>
      <c r="BD245" s="265"/>
      <c r="BE245" s="265"/>
      <c r="BF245" s="266" t="s">
        <v>23</v>
      </c>
      <c r="BG245" s="266"/>
      <c r="BH245" s="267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  <c r="CJ245" s="116"/>
      <c r="CK245" s="116"/>
      <c r="CL245" s="116"/>
      <c r="CM245" s="116"/>
      <c r="CN245" s="116"/>
      <c r="CO245" s="116"/>
      <c r="CP245" s="116"/>
      <c r="CQ245" s="116"/>
      <c r="CR245" s="116"/>
      <c r="CS245" s="116"/>
      <c r="CT245" s="116"/>
      <c r="CU245" s="116"/>
      <c r="CV245" s="116"/>
      <c r="CW245" s="116"/>
      <c r="CX245" s="116"/>
      <c r="CY245" s="116"/>
      <c r="CZ245" s="116"/>
      <c r="DA245" s="116"/>
      <c r="DB245" s="148"/>
    </row>
    <row r="246" spans="1:106" s="1" customFormat="1" ht="13.5" customHeight="1" x14ac:dyDescent="0.2">
      <c r="A246" s="328" t="str">
        <f>график!A36</f>
        <v>9</v>
      </c>
      <c r="B246" s="329"/>
      <c r="C246" s="330" t="str">
        <f>график!B36</f>
        <v>УСЛУГИ ПО ТЕХНИЧЕСКОМУ НАДЗОРУ ЗА ВЫПОЛНЕНИЕМ СТРОИТЕЛЬНЫХ РАБОТ</v>
      </c>
      <c r="D246" s="331"/>
      <c r="E246" s="331"/>
      <c r="F246" s="331"/>
      <c r="G246" s="331"/>
      <c r="H246" s="331"/>
      <c r="I246" s="331"/>
      <c r="J246" s="331"/>
      <c r="K246" s="331"/>
      <c r="L246" s="331"/>
      <c r="M246" s="331"/>
      <c r="N246" s="331"/>
      <c r="O246" s="331"/>
      <c r="P246" s="331"/>
      <c r="Q246" s="331"/>
      <c r="R246" s="331"/>
      <c r="S246" s="331"/>
      <c r="T246" s="331"/>
      <c r="U246" s="331"/>
      <c r="V246" s="331"/>
      <c r="W246" s="331"/>
      <c r="X246" s="331"/>
      <c r="Y246" s="331"/>
      <c r="Z246" s="331"/>
      <c r="AA246" s="331"/>
      <c r="AB246" s="331"/>
      <c r="AC246" s="331"/>
      <c r="AD246" s="331"/>
      <c r="AE246" s="331"/>
      <c r="AF246" s="331"/>
      <c r="AG246" s="331"/>
      <c r="AH246" s="331"/>
      <c r="AI246" s="331"/>
      <c r="AJ246" s="331"/>
      <c r="AK246" s="331"/>
      <c r="AL246" s="331"/>
      <c r="AM246" s="331"/>
      <c r="AN246" s="331"/>
      <c r="AO246" s="331"/>
      <c r="AP246" s="331"/>
      <c r="AQ246" s="331"/>
      <c r="AR246" s="331"/>
      <c r="AS246" s="331"/>
      <c r="AT246" s="331"/>
      <c r="AU246" s="331"/>
      <c r="AV246" s="331"/>
      <c r="AW246" s="331"/>
      <c r="AX246" s="331"/>
      <c r="AY246" s="331"/>
      <c r="AZ246" s="331"/>
      <c r="BA246" s="331"/>
      <c r="BB246" s="331"/>
      <c r="BC246" s="331"/>
      <c r="BD246" s="331"/>
      <c r="BE246" s="331"/>
      <c r="BF246" s="331"/>
      <c r="BG246" s="331"/>
      <c r="BH246" s="332"/>
      <c r="BI246" s="116"/>
    </row>
    <row r="247" spans="1:106" s="119" customFormat="1" ht="12" customHeight="1" x14ac:dyDescent="0.2">
      <c r="A247" s="307" t="str">
        <f>график!A37</f>
        <v>9.1</v>
      </c>
      <c r="B247" s="308"/>
      <c r="C247" s="309" t="str">
        <f>график!B37</f>
        <v>осуществление технического надзора за выполнением строительных, монтажных и пусконаладочных работ в объеме, предусмотренном действующим законодательством</v>
      </c>
      <c r="D247" s="309"/>
      <c r="E247" s="309"/>
      <c r="F247" s="309"/>
      <c r="G247" s="309"/>
      <c r="H247" s="309"/>
      <c r="I247" s="309"/>
      <c r="J247" s="309"/>
      <c r="K247" s="309"/>
      <c r="L247" s="309"/>
      <c r="M247" s="309"/>
      <c r="N247" s="309"/>
      <c r="O247" s="309"/>
      <c r="P247" s="309"/>
      <c r="Q247" s="309"/>
      <c r="R247" s="309"/>
      <c r="S247" s="309"/>
      <c r="T247" s="309"/>
      <c r="U247" s="309"/>
      <c r="V247" s="309"/>
      <c r="W247" s="309"/>
      <c r="X247" s="309"/>
      <c r="Y247" s="309"/>
      <c r="Z247" s="309"/>
      <c r="AA247" s="309"/>
      <c r="AB247" s="309"/>
      <c r="AC247" s="309"/>
      <c r="AD247" s="309"/>
      <c r="AE247" s="309"/>
      <c r="AF247" s="309"/>
      <c r="AG247" s="309"/>
      <c r="AH247" s="309"/>
      <c r="AI247" s="309"/>
      <c r="AJ247" s="309"/>
      <c r="AK247" s="309"/>
      <c r="AL247" s="309"/>
      <c r="AM247" s="309"/>
      <c r="AN247" s="309"/>
      <c r="AO247" s="309"/>
      <c r="AP247" s="309"/>
      <c r="AQ247" s="309"/>
      <c r="AR247" s="309"/>
      <c r="AS247" s="309"/>
      <c r="AT247" s="309"/>
      <c r="AU247" s="309"/>
      <c r="AV247" s="309"/>
      <c r="AW247" s="309"/>
      <c r="AX247" s="309"/>
      <c r="AY247" s="309"/>
      <c r="AZ247" s="309"/>
      <c r="BA247" s="310" t="s">
        <v>264</v>
      </c>
      <c r="BB247" s="310"/>
      <c r="BC247" s="310"/>
      <c r="BD247" s="310"/>
      <c r="BE247" s="310"/>
      <c r="BF247" s="310"/>
      <c r="BG247" s="310"/>
      <c r="BH247" s="311"/>
      <c r="BI247" s="146"/>
      <c r="BJ247" s="146"/>
      <c r="BK247" s="146"/>
      <c r="BL247" s="146"/>
      <c r="BM247" s="146"/>
      <c r="BN247" s="146"/>
      <c r="BO247" s="146"/>
      <c r="BP247" s="146"/>
      <c r="BQ247" s="146"/>
      <c r="BR247" s="146"/>
      <c r="BS247" s="146"/>
      <c r="BT247" s="146"/>
      <c r="BU247" s="146"/>
      <c r="BV247" s="146"/>
      <c r="BW247" s="146"/>
      <c r="BX247" s="146"/>
      <c r="BY247" s="146"/>
      <c r="BZ247" s="146"/>
      <c r="CA247" s="146"/>
      <c r="CB247" s="146"/>
      <c r="CC247" s="146"/>
      <c r="CD247" s="146"/>
      <c r="CE247" s="146"/>
      <c r="CF247" s="146"/>
      <c r="CG247" s="146"/>
      <c r="CH247" s="146"/>
      <c r="CI247" s="146"/>
      <c r="CJ247" s="146"/>
      <c r="CK247" s="146"/>
      <c r="CL247" s="146"/>
      <c r="CM247" s="146"/>
      <c r="CN247" s="146"/>
      <c r="CO247" s="146"/>
      <c r="CP247" s="146"/>
      <c r="CQ247" s="146"/>
      <c r="CR247" s="146"/>
      <c r="CS247" s="146"/>
      <c r="CT247" s="146"/>
      <c r="CU247" s="146"/>
      <c r="CV247" s="146"/>
      <c r="CW247" s="146"/>
      <c r="CX247" s="146"/>
      <c r="CY247" s="146"/>
      <c r="CZ247" s="146"/>
      <c r="DA247" s="146"/>
      <c r="DB247" s="147"/>
    </row>
    <row r="248" spans="1:106" s="117" customFormat="1" ht="12" customHeight="1" x14ac:dyDescent="0.25">
      <c r="A248" s="237" t="s">
        <v>200</v>
      </c>
      <c r="B248" s="238"/>
      <c r="C248" s="238"/>
      <c r="D248" s="238"/>
      <c r="E248" s="238"/>
      <c r="F248" s="238"/>
      <c r="G248" s="238"/>
      <c r="H248" s="238"/>
      <c r="I248" s="238"/>
      <c r="J248" s="238"/>
      <c r="K248" s="238"/>
      <c r="L248" s="238"/>
      <c r="M248" s="238"/>
      <c r="N248" s="238"/>
      <c r="O248" s="238"/>
      <c r="P248" s="238"/>
      <c r="Q248" s="238"/>
      <c r="R248" s="238"/>
      <c r="S248" s="238"/>
      <c r="T248" s="238"/>
      <c r="U248" s="238"/>
      <c r="V248" s="238"/>
      <c r="W248" s="239"/>
      <c r="X248" s="275" t="s">
        <v>45</v>
      </c>
      <c r="Y248" s="276"/>
      <c r="Z248" s="276"/>
      <c r="AA248" s="276"/>
      <c r="AB248" s="277" t="str">
        <f>график!C37</f>
        <v>окт 2024</v>
      </c>
      <c r="AC248" s="278"/>
      <c r="AD248" s="278"/>
      <c r="AE248" s="278"/>
      <c r="AF248" s="278"/>
      <c r="AG248" s="122" t="s">
        <v>1</v>
      </c>
      <c r="AH248" s="279" t="str">
        <f>график!E37</f>
        <v>янв 2025</v>
      </c>
      <c r="AI248" s="280"/>
      <c r="AJ248" s="280"/>
      <c r="AK248" s="280"/>
      <c r="AL248" s="280"/>
      <c r="AM248" s="211" t="s">
        <v>177</v>
      </c>
      <c r="AN248" s="211"/>
      <c r="AO248" s="120" t="s">
        <v>28</v>
      </c>
      <c r="AP248" s="281">
        <f>график!F37</f>
        <v>1.1263000000000001</v>
      </c>
      <c r="AQ248" s="281"/>
      <c r="AR248" s="281"/>
      <c r="AS248" s="281"/>
      <c r="AT248" s="211" t="s">
        <v>178</v>
      </c>
      <c r="AU248" s="211"/>
      <c r="AV248" s="120" t="s">
        <v>28</v>
      </c>
      <c r="AW248" s="212">
        <f>график!G37</f>
        <v>1.0306999999999999</v>
      </c>
      <c r="AX248" s="212"/>
      <c r="AY248" s="212"/>
      <c r="AZ248" s="213"/>
      <c r="BA248" s="214"/>
      <c r="BB248" s="215"/>
      <c r="BC248" s="215"/>
      <c r="BD248" s="215"/>
      <c r="BE248" s="215"/>
      <c r="BF248" s="215"/>
      <c r="BG248" s="215"/>
      <c r="BH248" s="2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  <c r="CJ248" s="116"/>
      <c r="CK248" s="116"/>
      <c r="CL248" s="116"/>
      <c r="CM248" s="116"/>
      <c r="CN248" s="116"/>
      <c r="CO248" s="116"/>
      <c r="CP248" s="116"/>
      <c r="CQ248" s="116"/>
      <c r="CR248" s="116"/>
      <c r="CS248" s="116"/>
      <c r="CT248" s="116"/>
      <c r="CU248" s="116"/>
      <c r="CV248" s="116"/>
      <c r="CW248" s="116"/>
      <c r="CX248" s="116"/>
      <c r="CY248" s="116"/>
      <c r="CZ248" s="116"/>
      <c r="DA248" s="116"/>
      <c r="DB248" s="148"/>
    </row>
    <row r="249" spans="1:106" s="117" customFormat="1" ht="12" customHeight="1" x14ac:dyDescent="0.2">
      <c r="A249" s="270" t="s">
        <v>198</v>
      </c>
      <c r="B249" s="271"/>
      <c r="C249" s="271"/>
      <c r="D249" s="271"/>
      <c r="E249" s="271"/>
      <c r="F249" s="271"/>
      <c r="G249" s="271"/>
      <c r="H249" s="271"/>
      <c r="I249" s="271"/>
      <c r="J249" s="271"/>
      <c r="K249" s="271"/>
      <c r="L249" s="271"/>
      <c r="M249" s="271"/>
      <c r="N249" s="271"/>
      <c r="O249" s="271"/>
      <c r="P249" s="271"/>
      <c r="Q249" s="271"/>
      <c r="R249" s="271"/>
      <c r="S249" s="271"/>
      <c r="T249" s="271"/>
      <c r="U249" s="271"/>
      <c r="V249" s="271"/>
      <c r="W249" s="272"/>
      <c r="X249" s="273" t="s">
        <v>39</v>
      </c>
      <c r="Y249" s="274"/>
      <c r="Z249" s="274"/>
      <c r="AA249" s="46" t="s">
        <v>28</v>
      </c>
      <c r="AB249" s="217">
        <v>3000</v>
      </c>
      <c r="AC249" s="217"/>
      <c r="AD249" s="217"/>
      <c r="AE249" s="217"/>
      <c r="AF249" s="282" t="s">
        <v>40</v>
      </c>
      <c r="AG249" s="274"/>
      <c r="AH249" s="274"/>
      <c r="AI249" s="274"/>
      <c r="AJ249" s="274"/>
      <c r="AK249" s="46" t="s">
        <v>28</v>
      </c>
      <c r="AL249" s="257">
        <v>179</v>
      </c>
      <c r="AM249" s="258"/>
      <c r="AN249" s="258"/>
      <c r="AO249" s="258"/>
      <c r="AP249" s="258"/>
      <c r="AQ249" s="288"/>
      <c r="AR249" s="288"/>
      <c r="AS249" s="209"/>
      <c r="AT249" s="209"/>
      <c r="AU249" s="209"/>
      <c r="AV249" s="127"/>
      <c r="AW249" s="315"/>
      <c r="AX249" s="217"/>
      <c r="AY249" s="217"/>
      <c r="AZ249" s="218"/>
      <c r="BA249" s="219"/>
      <c r="BB249" s="220"/>
      <c r="BC249" s="220"/>
      <c r="BD249" s="220"/>
      <c r="BE249" s="220"/>
      <c r="BF249" s="221"/>
      <c r="BG249" s="221"/>
      <c r="BH249" s="222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  <c r="CJ249" s="116"/>
      <c r="CK249" s="116"/>
      <c r="CL249" s="116"/>
      <c r="CM249" s="116"/>
      <c r="CN249" s="116"/>
      <c r="CO249" s="116"/>
      <c r="CP249" s="116"/>
      <c r="CQ249" s="116"/>
      <c r="CR249" s="116"/>
      <c r="CS249" s="116"/>
      <c r="CT249" s="116"/>
      <c r="CU249" s="116"/>
      <c r="CV249" s="116"/>
      <c r="CW249" s="116"/>
      <c r="CX249" s="116"/>
      <c r="CY249" s="116"/>
      <c r="CZ249" s="116"/>
      <c r="DA249" s="116"/>
      <c r="DB249" s="148"/>
    </row>
    <row r="250" spans="1:106" s="117" customFormat="1" ht="12" customHeight="1" x14ac:dyDescent="0.2">
      <c r="A250" s="270"/>
      <c r="B250" s="271"/>
      <c r="C250" s="271"/>
      <c r="D250" s="271"/>
      <c r="E250" s="271"/>
      <c r="F250" s="271"/>
      <c r="G250" s="271"/>
      <c r="H250" s="271"/>
      <c r="I250" s="271"/>
      <c r="J250" s="271"/>
      <c r="K250" s="271"/>
      <c r="L250" s="271"/>
      <c r="M250" s="271"/>
      <c r="N250" s="271"/>
      <c r="O250" s="271"/>
      <c r="P250" s="271"/>
      <c r="Q250" s="271"/>
      <c r="R250" s="271"/>
      <c r="S250" s="271"/>
      <c r="T250" s="271"/>
      <c r="U250" s="271"/>
      <c r="V250" s="271"/>
      <c r="W250" s="272"/>
      <c r="X250" s="273" t="s">
        <v>43</v>
      </c>
      <c r="Y250" s="274"/>
      <c r="Z250" s="274"/>
      <c r="AA250" s="46" t="s">
        <v>28</v>
      </c>
      <c r="AB250" s="217">
        <v>4000</v>
      </c>
      <c r="AC250" s="217"/>
      <c r="AD250" s="217"/>
      <c r="AE250" s="217"/>
      <c r="AF250" s="282" t="s">
        <v>44</v>
      </c>
      <c r="AG250" s="274"/>
      <c r="AH250" s="274"/>
      <c r="AI250" s="274"/>
      <c r="AJ250" s="274"/>
      <c r="AK250" s="46" t="s">
        <v>28</v>
      </c>
      <c r="AL250" s="257">
        <v>217</v>
      </c>
      <c r="AM250" s="258"/>
      <c r="AN250" s="258"/>
      <c r="AO250" s="258"/>
      <c r="AP250" s="258"/>
      <c r="AQ250" s="137"/>
      <c r="AR250" s="137"/>
      <c r="AS250" s="137"/>
      <c r="AT250" s="137"/>
      <c r="AU250" s="137"/>
      <c r="AV250" s="137"/>
      <c r="AW250" s="137"/>
      <c r="AX250" s="137"/>
      <c r="AY250" s="137"/>
      <c r="AZ250" s="166"/>
      <c r="BA250" s="219"/>
      <c r="BB250" s="220"/>
      <c r="BC250" s="220"/>
      <c r="BD250" s="220"/>
      <c r="BE250" s="220"/>
      <c r="BF250" s="221"/>
      <c r="BG250" s="221"/>
      <c r="BH250" s="222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  <c r="CJ250" s="116"/>
      <c r="CK250" s="116"/>
      <c r="CL250" s="116"/>
      <c r="CM250" s="116"/>
      <c r="CN250" s="116"/>
      <c r="CO250" s="116"/>
      <c r="CP250" s="116"/>
      <c r="CQ250" s="116"/>
      <c r="CR250" s="116"/>
      <c r="CS250" s="116"/>
      <c r="CT250" s="116"/>
      <c r="CU250" s="116"/>
      <c r="CV250" s="116"/>
      <c r="CW250" s="116"/>
      <c r="CX250" s="116"/>
      <c r="CY250" s="116"/>
      <c r="CZ250" s="116"/>
      <c r="DA250" s="116"/>
      <c r="DB250" s="148"/>
    </row>
    <row r="251" spans="1:106" s="117" customFormat="1" ht="12" customHeight="1" x14ac:dyDescent="0.2">
      <c r="A251" s="270"/>
      <c r="B251" s="271"/>
      <c r="C251" s="271"/>
      <c r="D251" s="271"/>
      <c r="E251" s="271"/>
      <c r="F251" s="271"/>
      <c r="G251" s="271"/>
      <c r="H251" s="271"/>
      <c r="I251" s="271"/>
      <c r="J251" s="271"/>
      <c r="K251" s="271"/>
      <c r="L251" s="271"/>
      <c r="M251" s="271"/>
      <c r="N251" s="271"/>
      <c r="O251" s="271"/>
      <c r="P251" s="271"/>
      <c r="Q251" s="271"/>
      <c r="R251" s="271"/>
      <c r="S251" s="271"/>
      <c r="T251" s="271"/>
      <c r="U251" s="271"/>
      <c r="V251" s="271"/>
      <c r="W251" s="272"/>
      <c r="X251" s="259" t="s">
        <v>22</v>
      </c>
      <c r="Y251" s="260"/>
      <c r="Z251" s="260"/>
      <c r="AA251" s="123" t="s">
        <v>28</v>
      </c>
      <c r="AB251" s="217" t="str">
        <f>CONCATENATE(AL249," + [(",AL250," - ", AL249,") / (",AB250," - ", AB249,")] x (",D255," - ",AB249,")  = ")</f>
        <v xml:space="preserve">179 + [(217 - 179) / (4000 - 3000)] x (3310 - 3000)  = </v>
      </c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8"/>
      <c r="BA251" s="219">
        <f>ROUND(AL249 + ((AL250-AL249) / (AB250-AB249)) * (D255-AB249),2)</f>
        <v>190.78</v>
      </c>
      <c r="BB251" s="220"/>
      <c r="BC251" s="220"/>
      <c r="BD251" s="220"/>
      <c r="BE251" s="220"/>
      <c r="BF251" s="221" t="s">
        <v>182</v>
      </c>
      <c r="BG251" s="221"/>
      <c r="BH251" s="222"/>
      <c r="BI251" s="116"/>
      <c r="BJ251" s="175" t="s">
        <v>190</v>
      </c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  <c r="CJ251" s="116"/>
      <c r="CK251" s="116"/>
      <c r="CL251" s="116"/>
      <c r="CM251" s="116"/>
      <c r="CN251" s="116"/>
      <c r="CO251" s="116"/>
      <c r="CP251" s="116"/>
      <c r="CQ251" s="116"/>
      <c r="CR251" s="116"/>
      <c r="CS251" s="116"/>
      <c r="CT251" s="116"/>
      <c r="CU251" s="116"/>
      <c r="CV251" s="116"/>
      <c r="CW251" s="116"/>
      <c r="CX251" s="116"/>
      <c r="CY251" s="116"/>
      <c r="CZ251" s="116"/>
      <c r="DA251" s="116"/>
      <c r="DB251" s="148"/>
    </row>
    <row r="252" spans="1:106" s="117" customFormat="1" ht="12" customHeight="1" x14ac:dyDescent="0.25">
      <c r="A252" s="285" t="s">
        <v>30</v>
      </c>
      <c r="B252" s="286"/>
      <c r="C252" s="286"/>
      <c r="D252" s="286"/>
      <c r="E252" s="286"/>
      <c r="F252" s="286"/>
      <c r="G252" s="286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286"/>
      <c r="S252" s="286"/>
      <c r="T252" s="286"/>
      <c r="U252" s="286"/>
      <c r="V252" s="286"/>
      <c r="W252" s="287"/>
      <c r="X252" s="273" t="s">
        <v>201</v>
      </c>
      <c r="Y252" s="274"/>
      <c r="Z252" s="274"/>
      <c r="AA252" s="46" t="s">
        <v>28</v>
      </c>
      <c r="AB252" s="208">
        <v>1.05</v>
      </c>
      <c r="AC252" s="208"/>
      <c r="AD252" s="208"/>
      <c r="AE252" s="288" t="s">
        <v>203</v>
      </c>
      <c r="AF252" s="288"/>
      <c r="AG252" s="127" t="s">
        <v>28</v>
      </c>
      <c r="AH252" s="207">
        <f>D255</f>
        <v>3310</v>
      </c>
      <c r="AI252" s="207"/>
      <c r="AJ252" s="207"/>
      <c r="AK252" s="282" t="s">
        <v>208</v>
      </c>
      <c r="AL252" s="282"/>
      <c r="AM252" s="46" t="s">
        <v>28</v>
      </c>
      <c r="AN252" s="217" t="str">
        <f>CONCATENATE("1 + (",AB252," - 1) x ",AH252," / ",D255)</f>
        <v>1 + (1,05 - 1) x 3310 / 3310</v>
      </c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139" t="s">
        <v>28</v>
      </c>
      <c r="BA252" s="289">
        <f>ROUND(1 + (AB252 - 1) *(AH252 / D255),2)</f>
        <v>1.05</v>
      </c>
      <c r="BB252" s="290"/>
      <c r="BC252" s="290"/>
      <c r="BD252" s="290"/>
      <c r="BE252" s="290"/>
      <c r="BF252" s="129"/>
      <c r="BG252" s="129"/>
      <c r="BH252" s="130"/>
      <c r="BI252" s="116"/>
      <c r="BJ252" s="116"/>
      <c r="BK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  <c r="CJ252" s="116"/>
      <c r="CK252" s="116"/>
      <c r="CL252" s="116"/>
      <c r="CM252" s="116"/>
      <c r="CN252" s="116"/>
      <c r="CO252" s="116"/>
      <c r="CP252" s="116"/>
      <c r="CQ252" s="116"/>
      <c r="CR252" s="116"/>
      <c r="CS252" s="116"/>
      <c r="CT252" s="116"/>
      <c r="CU252" s="116"/>
      <c r="CV252" s="116"/>
      <c r="CW252" s="116"/>
      <c r="CX252" s="116"/>
      <c r="CY252" s="116"/>
      <c r="CZ252" s="116"/>
      <c r="DA252" s="116"/>
      <c r="DB252" s="148"/>
    </row>
    <row r="253" spans="1:106" s="117" customFormat="1" ht="12" customHeight="1" x14ac:dyDescent="0.25">
      <c r="A253" s="285" t="s">
        <v>204</v>
      </c>
      <c r="B253" s="286"/>
      <c r="C253" s="286"/>
      <c r="D253" s="286"/>
      <c r="E253" s="286"/>
      <c r="F253" s="286"/>
      <c r="G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  <c r="W253" s="287"/>
      <c r="X253" s="273" t="s">
        <v>202</v>
      </c>
      <c r="Y253" s="274"/>
      <c r="Z253" s="274"/>
      <c r="AA253" s="46" t="s">
        <v>28</v>
      </c>
      <c r="AB253" s="208">
        <v>2.19</v>
      </c>
      <c r="AC253" s="208"/>
      <c r="AD253" s="208"/>
      <c r="AE253" s="288" t="s">
        <v>203</v>
      </c>
      <c r="AF253" s="288"/>
      <c r="AG253" s="127" t="s">
        <v>28</v>
      </c>
      <c r="AH253" s="207">
        <v>180</v>
      </c>
      <c r="AI253" s="207"/>
      <c r="AJ253" s="207"/>
      <c r="AK253" s="282" t="s">
        <v>208</v>
      </c>
      <c r="AL253" s="282"/>
      <c r="AM253" s="46" t="s">
        <v>28</v>
      </c>
      <c r="AN253" s="217" t="str">
        <f>CONCATENATE("1 + (1 - ",AB253,") x ",AH253," / ",D255)</f>
        <v>1 + (1 - 2,19) x 180 / 3310</v>
      </c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7"/>
      <c r="AY253" s="217"/>
      <c r="AZ253" s="139" t="s">
        <v>28</v>
      </c>
      <c r="BA253" s="289">
        <f>ROUND(1 + (AB253 - 1) *(AH253 / D255),2)</f>
        <v>1.06</v>
      </c>
      <c r="BB253" s="290"/>
      <c r="BC253" s="290"/>
      <c r="BD253" s="290"/>
      <c r="BE253" s="290"/>
      <c r="BF253" s="129"/>
      <c r="BG253" s="129"/>
      <c r="BH253" s="130"/>
      <c r="BI253" s="116"/>
      <c r="BJ253" s="183">
        <f>(1+(BA252-1)+(BA253-1))</f>
        <v>1.1100000000000001</v>
      </c>
      <c r="BK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  <c r="CJ253" s="116"/>
      <c r="CK253" s="116"/>
      <c r="CL253" s="116"/>
      <c r="CM253" s="116"/>
      <c r="CN253" s="116"/>
      <c r="CO253" s="116"/>
      <c r="CP253" s="116"/>
      <c r="CQ253" s="116"/>
      <c r="CR253" s="116"/>
      <c r="CS253" s="116"/>
      <c r="CT253" s="116"/>
      <c r="CU253" s="116"/>
      <c r="CV253" s="116"/>
      <c r="CW253" s="116"/>
      <c r="CX253" s="116"/>
      <c r="CY253" s="116"/>
      <c r="CZ253" s="116"/>
      <c r="DA253" s="116"/>
      <c r="DB253" s="148"/>
    </row>
    <row r="254" spans="1:106" s="117" customFormat="1" ht="12" customHeight="1" x14ac:dyDescent="0.2">
      <c r="A254" s="160"/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2"/>
      <c r="X254" s="326" t="s">
        <v>209</v>
      </c>
      <c r="Y254" s="327"/>
      <c r="Z254" s="327"/>
      <c r="AA254" s="123" t="s">
        <v>28</v>
      </c>
      <c r="AB254" s="217" t="str">
        <f>CONCATENATE(BA251," x [1 + (",BA252," - 1) + (",BA253," - 1)] = ",BA251," x ",BJ253," = ")</f>
        <v xml:space="preserve">190,78 x [1 + (1,05 - 1) + (1,06 - 1)] = 190,78 x 1,11 = </v>
      </c>
      <c r="AC254" s="217"/>
      <c r="AD254" s="217"/>
      <c r="AE254" s="217"/>
      <c r="AF254" s="217"/>
      <c r="AG254" s="217"/>
      <c r="AH254" s="217"/>
      <c r="AI254" s="217"/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7"/>
      <c r="AT254" s="217"/>
      <c r="AU254" s="217"/>
      <c r="AV254" s="217"/>
      <c r="AW254" s="217"/>
      <c r="AX254" s="217"/>
      <c r="AY254" s="217"/>
      <c r="AZ254" s="218"/>
      <c r="BA254" s="219">
        <f>ROUND(BA251*BJ253,2)</f>
        <v>211.77</v>
      </c>
      <c r="BB254" s="220"/>
      <c r="BC254" s="220"/>
      <c r="BD254" s="220"/>
      <c r="BE254" s="220"/>
      <c r="BF254" s="221" t="s">
        <v>182</v>
      </c>
      <c r="BG254" s="221"/>
      <c r="BH254" s="222"/>
      <c r="BI254" s="116"/>
      <c r="BJ254" s="175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  <c r="CJ254" s="116"/>
      <c r="CK254" s="116"/>
      <c r="CL254" s="116"/>
      <c r="CM254" s="116"/>
      <c r="CN254" s="116"/>
      <c r="CO254" s="116"/>
      <c r="CP254" s="116"/>
      <c r="CQ254" s="116"/>
      <c r="CR254" s="116"/>
      <c r="CS254" s="116"/>
      <c r="CT254" s="116"/>
      <c r="CU254" s="116"/>
      <c r="CV254" s="116"/>
      <c r="CW254" s="116"/>
      <c r="CX254" s="116"/>
      <c r="CY254" s="116"/>
      <c r="CZ254" s="116"/>
      <c r="DA254" s="116"/>
      <c r="DB254" s="148"/>
    </row>
    <row r="255" spans="1:106" s="117" customFormat="1" ht="12" customHeight="1" x14ac:dyDescent="0.25">
      <c r="A255" s="223" t="s">
        <v>189</v>
      </c>
      <c r="B255" s="224"/>
      <c r="C255" s="142" t="s">
        <v>28</v>
      </c>
      <c r="D255" s="312">
        <f>$D$57</f>
        <v>3310</v>
      </c>
      <c r="E255" s="312"/>
      <c r="F255" s="312"/>
      <c r="G255" s="312"/>
      <c r="H255" s="312"/>
      <c r="I255" s="149"/>
      <c r="J255" s="149"/>
      <c r="K255" s="149"/>
      <c r="L255" s="149"/>
      <c r="M255" s="149"/>
      <c r="N255" s="149"/>
      <c r="O255" s="149"/>
      <c r="P255" s="149"/>
      <c r="Q255" s="149"/>
      <c r="R255" s="224"/>
      <c r="S255" s="224"/>
      <c r="T255" s="142"/>
      <c r="U255" s="227"/>
      <c r="V255" s="226"/>
      <c r="W255" s="228"/>
      <c r="X255" s="313" t="s">
        <v>181</v>
      </c>
      <c r="Y255" s="314"/>
      <c r="Z255" s="314"/>
      <c r="AA255" s="126" t="s">
        <v>28</v>
      </c>
      <c r="AB255" s="231" t="str">
        <f>CONCATENATE(BA254," x ",$AO$17," x ", AP248," x [1 + 0,5 x (",AW248," - 1)]  = ")</f>
        <v xml:space="preserve">211,77 x 307,7 x 1,1263 x [1 + 0,5 x (1,0307 - 1)]  = </v>
      </c>
      <c r="AC255" s="231"/>
      <c r="AD255" s="231"/>
      <c r="AE255" s="231"/>
      <c r="AF255" s="231"/>
      <c r="AG255" s="231"/>
      <c r="AH255" s="231"/>
      <c r="AI255" s="231"/>
      <c r="AJ255" s="231"/>
      <c r="AK255" s="231"/>
      <c r="AL255" s="231"/>
      <c r="AM255" s="231"/>
      <c r="AN255" s="231"/>
      <c r="AO255" s="231"/>
      <c r="AP255" s="231"/>
      <c r="AQ255" s="231"/>
      <c r="AR255" s="231"/>
      <c r="AS255" s="231"/>
      <c r="AT255" s="231"/>
      <c r="AU255" s="231"/>
      <c r="AV255" s="231"/>
      <c r="AW255" s="231"/>
      <c r="AX255" s="231"/>
      <c r="AY255" s="231"/>
      <c r="AZ255" s="232"/>
      <c r="BA255" s="233">
        <f>ROUND(BA254*$AO$17*AP248*(1+0.5*(AW248-1)),2)</f>
        <v>74518.100000000006</v>
      </c>
      <c r="BB255" s="234"/>
      <c r="BC255" s="234"/>
      <c r="BD255" s="234"/>
      <c r="BE255" s="234"/>
      <c r="BF255" s="235" t="s">
        <v>23</v>
      </c>
      <c r="BG255" s="235"/>
      <c r="BH255" s="23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  <c r="CJ255" s="116"/>
      <c r="CK255" s="116"/>
      <c r="CL255" s="116"/>
      <c r="CM255" s="116"/>
      <c r="CN255" s="116"/>
      <c r="CO255" s="116"/>
      <c r="CP255" s="116"/>
      <c r="CQ255" s="116"/>
      <c r="CR255" s="116"/>
      <c r="CS255" s="116"/>
      <c r="CT255" s="116"/>
      <c r="CU255" s="116"/>
      <c r="CV255" s="116"/>
      <c r="CW255" s="116"/>
      <c r="CX255" s="116"/>
      <c r="CY255" s="116"/>
      <c r="CZ255" s="116"/>
      <c r="DA255" s="116"/>
      <c r="DB255" s="148"/>
    </row>
    <row r="256" spans="1:106" s="117" customFormat="1" ht="12" customHeight="1" x14ac:dyDescent="0.25">
      <c r="A256" s="237" t="s">
        <v>246</v>
      </c>
      <c r="B256" s="238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238"/>
      <c r="T256" s="238"/>
      <c r="U256" s="238"/>
      <c r="V256" s="238"/>
      <c r="W256" s="239"/>
      <c r="X256" s="294" t="s">
        <v>45</v>
      </c>
      <c r="Y256" s="295"/>
      <c r="Z256" s="295"/>
      <c r="AA256" s="295"/>
      <c r="AB256" s="296" t="str">
        <f>график!C37</f>
        <v>окт 2024</v>
      </c>
      <c r="AC256" s="297"/>
      <c r="AD256" s="297"/>
      <c r="AE256" s="297"/>
      <c r="AF256" s="297"/>
      <c r="AG256" s="203" t="s">
        <v>1</v>
      </c>
      <c r="AH256" s="298" t="str">
        <f>график!E37</f>
        <v>янв 2025</v>
      </c>
      <c r="AI256" s="299"/>
      <c r="AJ256" s="299"/>
      <c r="AK256" s="299"/>
      <c r="AL256" s="299"/>
      <c r="AM256" s="300" t="s">
        <v>177</v>
      </c>
      <c r="AN256" s="300"/>
      <c r="AO256" s="204" t="s">
        <v>28</v>
      </c>
      <c r="AP256" s="301">
        <f>график!F37</f>
        <v>1.1263000000000001</v>
      </c>
      <c r="AQ256" s="301"/>
      <c r="AR256" s="301"/>
      <c r="AS256" s="301"/>
      <c r="AT256" s="300" t="s">
        <v>178</v>
      </c>
      <c r="AU256" s="300"/>
      <c r="AV256" s="204" t="s">
        <v>28</v>
      </c>
      <c r="AW256" s="302">
        <f>график!G37</f>
        <v>1.0306999999999999</v>
      </c>
      <c r="AX256" s="302"/>
      <c r="AY256" s="302"/>
      <c r="AZ256" s="303"/>
      <c r="BA256" s="214"/>
      <c r="BB256" s="215"/>
      <c r="BC256" s="215"/>
      <c r="BD256" s="215"/>
      <c r="BE256" s="215"/>
      <c r="BF256" s="215"/>
      <c r="BG256" s="215"/>
      <c r="BH256" s="2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  <c r="CJ256" s="116"/>
      <c r="CK256" s="116"/>
      <c r="CL256" s="116"/>
      <c r="CM256" s="116"/>
      <c r="CN256" s="116"/>
      <c r="CO256" s="116"/>
      <c r="CP256" s="116"/>
      <c r="CQ256" s="116"/>
      <c r="CR256" s="116"/>
      <c r="CS256" s="116"/>
      <c r="CT256" s="116"/>
      <c r="CU256" s="116"/>
      <c r="CV256" s="116"/>
      <c r="CW256" s="116"/>
      <c r="CX256" s="116"/>
      <c r="CY256" s="116"/>
      <c r="CZ256" s="116"/>
      <c r="DA256" s="116"/>
      <c r="DB256" s="148"/>
    </row>
    <row r="257" spans="1:106" s="117" customFormat="1" ht="12" customHeight="1" x14ac:dyDescent="0.2">
      <c r="A257" s="270" t="s">
        <v>245</v>
      </c>
      <c r="B257" s="271"/>
      <c r="C257" s="271"/>
      <c r="D257" s="271"/>
      <c r="E257" s="271"/>
      <c r="F257" s="271"/>
      <c r="G257" s="271"/>
      <c r="H257" s="271"/>
      <c r="I257" s="271"/>
      <c r="J257" s="271"/>
      <c r="K257" s="271"/>
      <c r="L257" s="271"/>
      <c r="M257" s="271"/>
      <c r="N257" s="271"/>
      <c r="O257" s="271"/>
      <c r="P257" s="271"/>
      <c r="Q257" s="271"/>
      <c r="R257" s="271"/>
      <c r="S257" s="271"/>
      <c r="T257" s="271"/>
      <c r="U257" s="271"/>
      <c r="V257" s="271"/>
      <c r="W257" s="272"/>
      <c r="X257" s="273" t="s">
        <v>39</v>
      </c>
      <c r="Y257" s="274"/>
      <c r="Z257" s="274"/>
      <c r="AA257" s="46" t="s">
        <v>28</v>
      </c>
      <c r="AB257" s="217">
        <v>100</v>
      </c>
      <c r="AC257" s="217"/>
      <c r="AD257" s="217"/>
      <c r="AE257" s="217"/>
      <c r="AF257" s="282" t="s">
        <v>40</v>
      </c>
      <c r="AG257" s="274"/>
      <c r="AH257" s="274"/>
      <c r="AI257" s="274"/>
      <c r="AJ257" s="274"/>
      <c r="AK257" s="46" t="s">
        <v>28</v>
      </c>
      <c r="AL257" s="283">
        <v>3.54</v>
      </c>
      <c r="AM257" s="284"/>
      <c r="AN257" s="284"/>
      <c r="AO257" s="284"/>
      <c r="AP257" s="284"/>
      <c r="AQ257" s="288"/>
      <c r="AR257" s="288"/>
      <c r="AS257" s="209"/>
      <c r="AT257" s="209"/>
      <c r="AU257" s="209"/>
      <c r="AV257" s="127"/>
      <c r="AW257" s="315"/>
      <c r="AX257" s="217"/>
      <c r="AY257" s="217"/>
      <c r="AZ257" s="218"/>
      <c r="BA257" s="219"/>
      <c r="BB257" s="220"/>
      <c r="BC257" s="220"/>
      <c r="BD257" s="220"/>
      <c r="BE257" s="220"/>
      <c r="BF257" s="221"/>
      <c r="BG257" s="221"/>
      <c r="BH257" s="222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  <c r="CJ257" s="116"/>
      <c r="CK257" s="116"/>
      <c r="CL257" s="116"/>
      <c r="CM257" s="116"/>
      <c r="CN257" s="116"/>
      <c r="CO257" s="116"/>
      <c r="CP257" s="116"/>
      <c r="CQ257" s="116"/>
      <c r="CR257" s="116"/>
      <c r="CS257" s="116"/>
      <c r="CT257" s="116"/>
      <c r="CU257" s="116"/>
      <c r="CV257" s="116"/>
      <c r="CW257" s="116"/>
      <c r="CX257" s="116"/>
      <c r="CY257" s="116"/>
      <c r="CZ257" s="116"/>
      <c r="DA257" s="116"/>
      <c r="DB257" s="148"/>
    </row>
    <row r="258" spans="1:106" s="117" customFormat="1" ht="12" customHeight="1" x14ac:dyDescent="0.2">
      <c r="A258" s="270"/>
      <c r="B258" s="271"/>
      <c r="C258" s="271"/>
      <c r="D258" s="271"/>
      <c r="E258" s="271"/>
      <c r="F258" s="271"/>
      <c r="G258" s="271"/>
      <c r="H258" s="271"/>
      <c r="I258" s="271"/>
      <c r="J258" s="271"/>
      <c r="K258" s="271"/>
      <c r="L258" s="271"/>
      <c r="M258" s="271"/>
      <c r="N258" s="271"/>
      <c r="O258" s="271"/>
      <c r="P258" s="271"/>
      <c r="Q258" s="271"/>
      <c r="R258" s="271"/>
      <c r="S258" s="271"/>
      <c r="T258" s="271"/>
      <c r="U258" s="271"/>
      <c r="V258" s="271"/>
      <c r="W258" s="272"/>
      <c r="X258" s="273" t="s">
        <v>43</v>
      </c>
      <c r="Y258" s="274"/>
      <c r="Z258" s="274"/>
      <c r="AA258" s="46" t="s">
        <v>28</v>
      </c>
      <c r="AB258" s="217">
        <v>300</v>
      </c>
      <c r="AC258" s="217"/>
      <c r="AD258" s="217"/>
      <c r="AE258" s="217"/>
      <c r="AF258" s="282" t="s">
        <v>44</v>
      </c>
      <c r="AG258" s="274"/>
      <c r="AH258" s="274"/>
      <c r="AI258" s="274"/>
      <c r="AJ258" s="274"/>
      <c r="AK258" s="46" t="s">
        <v>28</v>
      </c>
      <c r="AL258" s="283">
        <v>8.2200000000000006</v>
      </c>
      <c r="AM258" s="284"/>
      <c r="AN258" s="284"/>
      <c r="AO258" s="284"/>
      <c r="AP258" s="284"/>
      <c r="AQ258" s="137"/>
      <c r="AR258" s="137"/>
      <c r="AS258" s="137"/>
      <c r="AT258" s="137"/>
      <c r="AU258" s="137"/>
      <c r="AV258" s="137"/>
      <c r="AW258" s="137"/>
      <c r="AX258" s="137"/>
      <c r="AY258" s="137"/>
      <c r="AZ258" s="166"/>
      <c r="BA258" s="219"/>
      <c r="BB258" s="220"/>
      <c r="BC258" s="220"/>
      <c r="BD258" s="220"/>
      <c r="BE258" s="220"/>
      <c r="BF258" s="221"/>
      <c r="BG258" s="221"/>
      <c r="BH258" s="222"/>
      <c r="BI258" s="116"/>
      <c r="BJ258" s="116"/>
      <c r="BK258" s="116"/>
      <c r="BL258" s="116"/>
      <c r="BM258" s="116"/>
      <c r="BN258" s="116"/>
      <c r="BO258" s="116"/>
      <c r="BP258" s="116"/>
      <c r="BQ258" s="116"/>
      <c r="BR258" s="116"/>
      <c r="BS258" s="116"/>
      <c r="BT258" s="116"/>
      <c r="BU258" s="116"/>
      <c r="BV258" s="116"/>
      <c r="BW258" s="116"/>
      <c r="BX258" s="116"/>
      <c r="BY258" s="116"/>
      <c r="BZ258" s="116"/>
      <c r="CA258" s="116"/>
      <c r="CB258" s="116"/>
      <c r="CC258" s="116"/>
      <c r="CD258" s="116"/>
      <c r="CE258" s="116"/>
      <c r="CF258" s="116"/>
      <c r="CG258" s="116"/>
      <c r="CH258" s="116"/>
      <c r="CI258" s="116"/>
      <c r="CJ258" s="116"/>
      <c r="CK258" s="116"/>
      <c r="CL258" s="116"/>
      <c r="CM258" s="116"/>
      <c r="CN258" s="116"/>
      <c r="CO258" s="116"/>
      <c r="CP258" s="116"/>
      <c r="CQ258" s="116"/>
      <c r="CR258" s="116"/>
      <c r="CS258" s="116"/>
      <c r="CT258" s="116"/>
      <c r="CU258" s="116"/>
      <c r="CV258" s="116"/>
      <c r="CW258" s="116"/>
      <c r="CX258" s="116"/>
      <c r="CY258" s="116"/>
      <c r="CZ258" s="116"/>
      <c r="DA258" s="116"/>
      <c r="DB258" s="148"/>
    </row>
    <row r="259" spans="1:106" s="117" customFormat="1" ht="12" customHeight="1" x14ac:dyDescent="0.2">
      <c r="A259" s="270"/>
      <c r="B259" s="271"/>
      <c r="C259" s="271"/>
      <c r="D259" s="271"/>
      <c r="E259" s="271"/>
      <c r="F259" s="271"/>
      <c r="G259" s="271"/>
      <c r="H259" s="271"/>
      <c r="I259" s="271"/>
      <c r="J259" s="271"/>
      <c r="K259" s="271"/>
      <c r="L259" s="271"/>
      <c r="M259" s="271"/>
      <c r="N259" s="271"/>
      <c r="O259" s="271"/>
      <c r="P259" s="271"/>
      <c r="Q259" s="271"/>
      <c r="R259" s="271"/>
      <c r="S259" s="271"/>
      <c r="T259" s="271"/>
      <c r="U259" s="271"/>
      <c r="V259" s="271"/>
      <c r="W259" s="272"/>
      <c r="X259" s="259" t="s">
        <v>22</v>
      </c>
      <c r="Y259" s="260"/>
      <c r="Z259" s="260"/>
      <c r="AA259" s="123" t="s">
        <v>28</v>
      </c>
      <c r="AB259" s="217" t="str">
        <f>CONCATENATE(AL257," + [(",AL258," - ", AL257,") / (",AB258," - ", AB257,")] x (",D263," - ",AB257,")  = ")</f>
        <v xml:space="preserve">3,54 + [(8,22 - 3,54) / (300 - 100)] x (107 - 100)  = </v>
      </c>
      <c r="AC259" s="217"/>
      <c r="AD259" s="217"/>
      <c r="AE259" s="217"/>
      <c r="AF259" s="217"/>
      <c r="AG259" s="217"/>
      <c r="AH259" s="217"/>
      <c r="AI259" s="217"/>
      <c r="AJ259" s="217"/>
      <c r="AK259" s="217"/>
      <c r="AL259" s="217"/>
      <c r="AM259" s="217"/>
      <c r="AN259" s="217"/>
      <c r="AO259" s="217"/>
      <c r="AP259" s="217"/>
      <c r="AQ259" s="217"/>
      <c r="AR259" s="217"/>
      <c r="AS259" s="217"/>
      <c r="AT259" s="217"/>
      <c r="AU259" s="217"/>
      <c r="AV259" s="217"/>
      <c r="AW259" s="217"/>
      <c r="AX259" s="217"/>
      <c r="AY259" s="217"/>
      <c r="AZ259" s="218"/>
      <c r="BA259" s="219">
        <f>ROUND(AL257 + ((AL258-AL257) / (AB258-AB257)) * (D263-AB257),2)</f>
        <v>3.7</v>
      </c>
      <c r="BB259" s="220"/>
      <c r="BC259" s="220"/>
      <c r="BD259" s="220"/>
      <c r="BE259" s="220"/>
      <c r="BF259" s="221" t="s">
        <v>182</v>
      </c>
      <c r="BG259" s="221"/>
      <c r="BH259" s="222"/>
      <c r="BI259" s="116"/>
      <c r="BJ259" s="175" t="s">
        <v>190</v>
      </c>
      <c r="BK259" s="116"/>
      <c r="BL259" s="116"/>
      <c r="BM259" s="116"/>
      <c r="BN259" s="116"/>
      <c r="BO259" s="116"/>
      <c r="BP259" s="116"/>
      <c r="BQ259" s="116"/>
      <c r="BR259" s="116"/>
      <c r="BS259" s="116"/>
      <c r="BT259" s="116"/>
      <c r="BU259" s="116"/>
      <c r="BV259" s="116"/>
      <c r="BW259" s="116"/>
      <c r="BX259" s="116"/>
      <c r="BY259" s="116"/>
      <c r="BZ259" s="116"/>
      <c r="CA259" s="116"/>
      <c r="CB259" s="116"/>
      <c r="CC259" s="116"/>
      <c r="CD259" s="116"/>
      <c r="CE259" s="116"/>
      <c r="CF259" s="116"/>
      <c r="CG259" s="116"/>
      <c r="CH259" s="116"/>
      <c r="CI259" s="116"/>
      <c r="CJ259" s="116"/>
      <c r="CK259" s="116"/>
      <c r="CL259" s="116"/>
      <c r="CM259" s="116"/>
      <c r="CN259" s="116"/>
      <c r="CO259" s="116"/>
      <c r="CP259" s="116"/>
      <c r="CQ259" s="116"/>
      <c r="CR259" s="116"/>
      <c r="CS259" s="116"/>
      <c r="CT259" s="116"/>
      <c r="CU259" s="116"/>
      <c r="CV259" s="116"/>
      <c r="CW259" s="116"/>
      <c r="CX259" s="116"/>
      <c r="CY259" s="116"/>
      <c r="CZ259" s="116"/>
      <c r="DA259" s="116"/>
      <c r="DB259" s="148"/>
    </row>
    <row r="260" spans="1:106" s="117" customFormat="1" ht="12" customHeight="1" x14ac:dyDescent="0.25">
      <c r="A260" s="285" t="s">
        <v>248</v>
      </c>
      <c r="B260" s="286"/>
      <c r="C260" s="286"/>
      <c r="D260" s="286"/>
      <c r="E260" s="286"/>
      <c r="F260" s="286"/>
      <c r="G260" s="286"/>
      <c r="H260" s="286"/>
      <c r="I260" s="286"/>
      <c r="J260" s="286"/>
      <c r="K260" s="286"/>
      <c r="L260" s="286"/>
      <c r="M260" s="286"/>
      <c r="N260" s="286"/>
      <c r="O260" s="286"/>
      <c r="P260" s="286"/>
      <c r="Q260" s="286"/>
      <c r="R260" s="286"/>
      <c r="S260" s="286"/>
      <c r="T260" s="286"/>
      <c r="U260" s="286"/>
      <c r="V260" s="286"/>
      <c r="W260" s="287"/>
      <c r="X260" s="273" t="s">
        <v>249</v>
      </c>
      <c r="Y260" s="274"/>
      <c r="Z260" s="274"/>
      <c r="AA260" s="46" t="s">
        <v>28</v>
      </c>
      <c r="AB260" s="208">
        <v>1.1000000000000001</v>
      </c>
      <c r="AC260" s="208"/>
      <c r="AD260" s="208"/>
      <c r="AE260" s="288" t="s">
        <v>203</v>
      </c>
      <c r="AF260" s="288"/>
      <c r="AG260" s="127" t="s">
        <v>28</v>
      </c>
      <c r="AH260" s="207">
        <v>60</v>
      </c>
      <c r="AI260" s="207"/>
      <c r="AJ260" s="207"/>
      <c r="AK260" s="282" t="s">
        <v>208</v>
      </c>
      <c r="AL260" s="282"/>
      <c r="AM260" s="46" t="s">
        <v>28</v>
      </c>
      <c r="AN260" s="217" t="str">
        <f>CONCATENATE("1 + (",AB260," - 1) x ",AH260," / ",D263)</f>
        <v>1 + (1,1 - 1) x 60 / 107</v>
      </c>
      <c r="AO260" s="217"/>
      <c r="AP260" s="217"/>
      <c r="AQ260" s="217"/>
      <c r="AR260" s="217"/>
      <c r="AS260" s="217"/>
      <c r="AT260" s="217"/>
      <c r="AU260" s="217"/>
      <c r="AV260" s="217"/>
      <c r="AW260" s="217"/>
      <c r="AX260" s="217"/>
      <c r="AY260" s="217"/>
      <c r="AZ260" s="139" t="s">
        <v>28</v>
      </c>
      <c r="BA260" s="289">
        <f>ROUND(1 + (AB260 - 1) *(AH260 / D263),2)</f>
        <v>1.06</v>
      </c>
      <c r="BB260" s="290"/>
      <c r="BC260" s="290"/>
      <c r="BD260" s="290"/>
      <c r="BE260" s="290"/>
      <c r="BF260" s="129"/>
      <c r="BG260" s="129"/>
      <c r="BH260" s="130"/>
      <c r="BI260" s="116"/>
      <c r="BJ260" s="116"/>
      <c r="BK260" s="116"/>
      <c r="BO260" s="116"/>
      <c r="BP260" s="116"/>
      <c r="BQ260" s="116"/>
      <c r="BR260" s="116"/>
      <c r="BS260" s="116"/>
      <c r="BT260" s="116"/>
      <c r="BU260" s="116"/>
      <c r="BV260" s="116"/>
      <c r="BW260" s="116"/>
      <c r="BX260" s="116"/>
      <c r="BY260" s="116"/>
      <c r="BZ260" s="116"/>
      <c r="CA260" s="116"/>
      <c r="CB260" s="116"/>
      <c r="CC260" s="116"/>
      <c r="CD260" s="116"/>
      <c r="CE260" s="116"/>
      <c r="CF260" s="116"/>
      <c r="CG260" s="116"/>
      <c r="CH260" s="116"/>
      <c r="CI260" s="116"/>
      <c r="CJ260" s="116"/>
      <c r="CK260" s="116"/>
      <c r="CL260" s="116"/>
      <c r="CM260" s="116"/>
      <c r="CN260" s="116"/>
      <c r="CO260" s="116"/>
      <c r="CP260" s="116"/>
      <c r="CQ260" s="116"/>
      <c r="CR260" s="116"/>
      <c r="CS260" s="116"/>
      <c r="CT260" s="116"/>
      <c r="CU260" s="116"/>
      <c r="CV260" s="116"/>
      <c r="CW260" s="116"/>
      <c r="CX260" s="116"/>
      <c r="CY260" s="116"/>
      <c r="CZ260" s="116"/>
      <c r="DA260" s="116"/>
      <c r="DB260" s="148"/>
    </row>
    <row r="261" spans="1:106" s="117" customFormat="1" ht="12" customHeight="1" x14ac:dyDescent="0.25">
      <c r="A261" s="285" t="s">
        <v>247</v>
      </c>
      <c r="B261" s="286"/>
      <c r="C261" s="286"/>
      <c r="D261" s="286"/>
      <c r="E261" s="286"/>
      <c r="F261" s="286"/>
      <c r="G261" s="286"/>
      <c r="H261" s="286"/>
      <c r="I261" s="286"/>
      <c r="J261" s="286"/>
      <c r="K261" s="286"/>
      <c r="L261" s="286"/>
      <c r="M261" s="286"/>
      <c r="N261" s="286"/>
      <c r="O261" s="286"/>
      <c r="P261" s="286"/>
      <c r="Q261" s="286"/>
      <c r="R261" s="286"/>
      <c r="S261" s="286"/>
      <c r="T261" s="286"/>
      <c r="U261" s="286"/>
      <c r="V261" s="286"/>
      <c r="W261" s="287"/>
      <c r="X261" s="273" t="s">
        <v>202</v>
      </c>
      <c r="Y261" s="274"/>
      <c r="Z261" s="274"/>
      <c r="AA261" s="46" t="s">
        <v>28</v>
      </c>
      <c r="AB261" s="208">
        <v>1.2</v>
      </c>
      <c r="AC261" s="208"/>
      <c r="AD261" s="208"/>
      <c r="AE261" s="288" t="s">
        <v>203</v>
      </c>
      <c r="AF261" s="288"/>
      <c r="AG261" s="127" t="s">
        <v>28</v>
      </c>
      <c r="AH261" s="207">
        <v>100</v>
      </c>
      <c r="AI261" s="207"/>
      <c r="AJ261" s="207"/>
      <c r="AK261" s="282" t="s">
        <v>208</v>
      </c>
      <c r="AL261" s="282"/>
      <c r="AM261" s="46" t="s">
        <v>28</v>
      </c>
      <c r="AN261" s="217" t="str">
        <f>CONCATENATE("1 + (1 - ",AB261,") x ",AH261," / ",D263)</f>
        <v>1 + (1 - 1,2) x 100 / 107</v>
      </c>
      <c r="AO261" s="217"/>
      <c r="AP261" s="217"/>
      <c r="AQ261" s="217"/>
      <c r="AR261" s="217"/>
      <c r="AS261" s="217"/>
      <c r="AT261" s="217"/>
      <c r="AU261" s="217"/>
      <c r="AV261" s="217"/>
      <c r="AW261" s="217"/>
      <c r="AX261" s="217"/>
      <c r="AY261" s="217"/>
      <c r="AZ261" s="139" t="s">
        <v>28</v>
      </c>
      <c r="BA261" s="289">
        <f>ROUND(1 + (AB261 - 1) *(AH261 / D263),2)</f>
        <v>1.19</v>
      </c>
      <c r="BB261" s="290"/>
      <c r="BC261" s="290"/>
      <c r="BD261" s="290"/>
      <c r="BE261" s="290"/>
      <c r="BF261" s="129"/>
      <c r="BG261" s="129"/>
      <c r="BH261" s="130"/>
      <c r="BI261" s="116"/>
      <c r="BJ261" s="183">
        <f>(1+(BA260-1)+(BA261-1))</f>
        <v>1.25</v>
      </c>
      <c r="BK261" s="116"/>
      <c r="BO261" s="116"/>
      <c r="BP261" s="116"/>
      <c r="BQ261" s="116"/>
      <c r="BR261" s="116"/>
      <c r="BS261" s="116"/>
      <c r="BT261" s="116"/>
      <c r="BU261" s="116"/>
      <c r="BV261" s="116"/>
      <c r="BW261" s="116"/>
      <c r="BX261" s="116"/>
      <c r="BY261" s="116"/>
      <c r="BZ261" s="116"/>
      <c r="CA261" s="116"/>
      <c r="CB261" s="116"/>
      <c r="CC261" s="116"/>
      <c r="CD261" s="116"/>
      <c r="CE261" s="116"/>
      <c r="CF261" s="116"/>
      <c r="CG261" s="116"/>
      <c r="CH261" s="116"/>
      <c r="CI261" s="116"/>
      <c r="CJ261" s="116"/>
      <c r="CK261" s="116"/>
      <c r="CL261" s="116"/>
      <c r="CM261" s="116"/>
      <c r="CN261" s="116"/>
      <c r="CO261" s="116"/>
      <c r="CP261" s="116"/>
      <c r="CQ261" s="116"/>
      <c r="CR261" s="116"/>
      <c r="CS261" s="116"/>
      <c r="CT261" s="116"/>
      <c r="CU261" s="116"/>
      <c r="CV261" s="116"/>
      <c r="CW261" s="116"/>
      <c r="CX261" s="116"/>
      <c r="CY261" s="116"/>
      <c r="CZ261" s="116"/>
      <c r="DA261" s="116"/>
      <c r="DB261" s="148"/>
    </row>
    <row r="262" spans="1:106" s="117" customFormat="1" ht="12" customHeight="1" x14ac:dyDescent="0.2">
      <c r="A262" s="160"/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2"/>
      <c r="X262" s="259" t="s">
        <v>209</v>
      </c>
      <c r="Y262" s="260"/>
      <c r="Z262" s="260"/>
      <c r="AA262" s="123" t="s">
        <v>28</v>
      </c>
      <c r="AB262" s="217" t="str">
        <f>CONCATENATE(BA259," x [1 + (",BA260," - 1) + (",BA261," - 1)] = ",BA259," x ",BJ261," = ")</f>
        <v xml:space="preserve">3,7 x [1 + (1,06 - 1) + (1,19 - 1)] = 3,7 x 1,25 = </v>
      </c>
      <c r="AC262" s="217"/>
      <c r="AD262" s="217"/>
      <c r="AE262" s="217"/>
      <c r="AF262" s="217"/>
      <c r="AG262" s="217"/>
      <c r="AH262" s="217"/>
      <c r="AI262" s="217"/>
      <c r="AJ262" s="217"/>
      <c r="AK262" s="217"/>
      <c r="AL262" s="217"/>
      <c r="AM262" s="217"/>
      <c r="AN262" s="217"/>
      <c r="AO262" s="217"/>
      <c r="AP262" s="217"/>
      <c r="AQ262" s="217"/>
      <c r="AR262" s="217"/>
      <c r="AS262" s="217"/>
      <c r="AT262" s="217"/>
      <c r="AU262" s="217"/>
      <c r="AV262" s="217"/>
      <c r="AW262" s="217"/>
      <c r="AX262" s="217"/>
      <c r="AY262" s="217"/>
      <c r="AZ262" s="218"/>
      <c r="BA262" s="219">
        <f>ROUND(BA259*BJ261,2)</f>
        <v>4.63</v>
      </c>
      <c r="BB262" s="220"/>
      <c r="BC262" s="220"/>
      <c r="BD262" s="220"/>
      <c r="BE262" s="220"/>
      <c r="BF262" s="221" t="s">
        <v>182</v>
      </c>
      <c r="BG262" s="221"/>
      <c r="BH262" s="222"/>
      <c r="BI262" s="116"/>
      <c r="BJ262" s="175"/>
      <c r="BK262" s="116"/>
      <c r="BL262" s="116"/>
      <c r="BM262" s="116"/>
      <c r="BN262" s="116"/>
      <c r="BO262" s="116"/>
      <c r="BP262" s="116"/>
      <c r="BQ262" s="116"/>
      <c r="BR262" s="116"/>
      <c r="BS262" s="116"/>
      <c r="BT262" s="116"/>
      <c r="BU262" s="116"/>
      <c r="BV262" s="116"/>
      <c r="BW262" s="116"/>
      <c r="BX262" s="116"/>
      <c r="BY262" s="116"/>
      <c r="BZ262" s="116"/>
      <c r="CA262" s="116"/>
      <c r="CB262" s="116"/>
      <c r="CC262" s="116"/>
      <c r="CD262" s="116"/>
      <c r="CE262" s="116"/>
      <c r="CF262" s="116"/>
      <c r="CG262" s="116"/>
      <c r="CH262" s="116"/>
      <c r="CI262" s="116"/>
      <c r="CJ262" s="116"/>
      <c r="CK262" s="116"/>
      <c r="CL262" s="116"/>
      <c r="CM262" s="116"/>
      <c r="CN262" s="116"/>
      <c r="CO262" s="116"/>
      <c r="CP262" s="116"/>
      <c r="CQ262" s="116"/>
      <c r="CR262" s="116"/>
      <c r="CS262" s="116"/>
      <c r="CT262" s="116"/>
      <c r="CU262" s="116"/>
      <c r="CV262" s="116"/>
      <c r="CW262" s="116"/>
      <c r="CX262" s="116"/>
      <c r="CY262" s="116"/>
      <c r="CZ262" s="116"/>
      <c r="DA262" s="116"/>
      <c r="DB262" s="148"/>
    </row>
    <row r="263" spans="1:106" s="117" customFormat="1" ht="12" customHeight="1" x14ac:dyDescent="0.25">
      <c r="A263" s="223" t="s">
        <v>189</v>
      </c>
      <c r="B263" s="224"/>
      <c r="C263" s="142" t="s">
        <v>28</v>
      </c>
      <c r="D263" s="225">
        <v>107</v>
      </c>
      <c r="E263" s="225"/>
      <c r="F263" s="225"/>
      <c r="G263" s="225"/>
      <c r="H263" s="225"/>
      <c r="I263" s="226" t="s">
        <v>254</v>
      </c>
      <c r="J263" s="226"/>
      <c r="K263" s="226"/>
      <c r="L263" s="226"/>
      <c r="M263" s="226"/>
      <c r="N263" s="226"/>
      <c r="O263" s="149"/>
      <c r="P263" s="149"/>
      <c r="Q263" s="149"/>
      <c r="R263" s="224"/>
      <c r="S263" s="224"/>
      <c r="T263" s="142"/>
      <c r="U263" s="227"/>
      <c r="V263" s="226"/>
      <c r="W263" s="228"/>
      <c r="X263" s="229" t="s">
        <v>181</v>
      </c>
      <c r="Y263" s="230"/>
      <c r="Z263" s="230"/>
      <c r="AA263" s="126" t="s">
        <v>28</v>
      </c>
      <c r="AB263" s="231" t="str">
        <f>CONCATENATE(BA262," x ",$AO$17," x ", AP256," x [1 + 0,5 x (",AW256," - 1)]  = ")</f>
        <v xml:space="preserve">4,63 x 307,7 x 1,1263 x [1 + 0,5 x (1,0307 - 1)]  = </v>
      </c>
      <c r="AC263" s="231"/>
      <c r="AD263" s="231"/>
      <c r="AE263" s="231"/>
      <c r="AF263" s="231"/>
      <c r="AG263" s="231"/>
      <c r="AH263" s="231"/>
      <c r="AI263" s="231"/>
      <c r="AJ263" s="231"/>
      <c r="AK263" s="231"/>
      <c r="AL263" s="231"/>
      <c r="AM263" s="231"/>
      <c r="AN263" s="231"/>
      <c r="AO263" s="231"/>
      <c r="AP263" s="231"/>
      <c r="AQ263" s="231"/>
      <c r="AR263" s="231"/>
      <c r="AS263" s="231"/>
      <c r="AT263" s="231"/>
      <c r="AU263" s="231"/>
      <c r="AV263" s="231"/>
      <c r="AW263" s="231"/>
      <c r="AX263" s="231"/>
      <c r="AY263" s="231"/>
      <c r="AZ263" s="232"/>
      <c r="BA263" s="233">
        <f>ROUND(BA262*$AO$17*AP256*(1+0.5*(AW256-1)),2)</f>
        <v>1629.21</v>
      </c>
      <c r="BB263" s="234"/>
      <c r="BC263" s="234"/>
      <c r="BD263" s="234"/>
      <c r="BE263" s="234"/>
      <c r="BF263" s="235" t="s">
        <v>23</v>
      </c>
      <c r="BG263" s="235"/>
      <c r="BH263" s="236"/>
      <c r="BI263" s="116"/>
      <c r="BJ263" s="116"/>
      <c r="BK263" s="116"/>
      <c r="BL263" s="116"/>
      <c r="BM263" s="116"/>
      <c r="BN263" s="116"/>
      <c r="BO263" s="116"/>
      <c r="BP263" s="116"/>
      <c r="BQ263" s="116"/>
      <c r="BR263" s="116"/>
      <c r="BS263" s="116"/>
      <c r="BT263" s="116"/>
      <c r="BU263" s="116"/>
      <c r="BV263" s="116"/>
      <c r="BW263" s="116"/>
      <c r="BX263" s="116"/>
      <c r="BY263" s="116"/>
      <c r="BZ263" s="116"/>
      <c r="CA263" s="116"/>
      <c r="CB263" s="116"/>
      <c r="CC263" s="116"/>
      <c r="CD263" s="116"/>
      <c r="CE263" s="116"/>
      <c r="CF263" s="116"/>
      <c r="CG263" s="116"/>
      <c r="CH263" s="116"/>
      <c r="CI263" s="116"/>
      <c r="CJ263" s="116"/>
      <c r="CK263" s="116"/>
      <c r="CL263" s="116"/>
      <c r="CM263" s="116"/>
      <c r="CN263" s="116"/>
      <c r="CO263" s="116"/>
      <c r="CP263" s="116"/>
      <c r="CQ263" s="116"/>
      <c r="CR263" s="116"/>
      <c r="CS263" s="116"/>
      <c r="CT263" s="116"/>
      <c r="CU263" s="116"/>
      <c r="CV263" s="116"/>
      <c r="CW263" s="116"/>
      <c r="CX263" s="116"/>
      <c r="CY263" s="116"/>
      <c r="CZ263" s="116"/>
      <c r="DA263" s="116"/>
      <c r="DB263" s="148"/>
    </row>
    <row r="264" spans="1:106" s="117" customFormat="1" ht="12" customHeight="1" x14ac:dyDescent="0.25">
      <c r="A264" s="291" t="s">
        <v>259</v>
      </c>
      <c r="B264" s="292"/>
      <c r="C264" s="292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3"/>
      <c r="X264" s="294" t="s">
        <v>45</v>
      </c>
      <c r="Y264" s="295"/>
      <c r="Z264" s="295"/>
      <c r="AA264" s="295"/>
      <c r="AB264" s="296" t="str">
        <f>график!C37</f>
        <v>окт 2024</v>
      </c>
      <c r="AC264" s="297"/>
      <c r="AD264" s="297"/>
      <c r="AE264" s="297"/>
      <c r="AF264" s="297"/>
      <c r="AG264" s="203" t="s">
        <v>1</v>
      </c>
      <c r="AH264" s="298" t="str">
        <f>график!E37</f>
        <v>янв 2025</v>
      </c>
      <c r="AI264" s="299"/>
      <c r="AJ264" s="299"/>
      <c r="AK264" s="299"/>
      <c r="AL264" s="299"/>
      <c r="AM264" s="300" t="s">
        <v>177</v>
      </c>
      <c r="AN264" s="300"/>
      <c r="AO264" s="204" t="s">
        <v>28</v>
      </c>
      <c r="AP264" s="301">
        <f>график!F37</f>
        <v>1.1263000000000001</v>
      </c>
      <c r="AQ264" s="301"/>
      <c r="AR264" s="301"/>
      <c r="AS264" s="301"/>
      <c r="AT264" s="300" t="s">
        <v>178</v>
      </c>
      <c r="AU264" s="300"/>
      <c r="AV264" s="204" t="s">
        <v>28</v>
      </c>
      <c r="AW264" s="302">
        <f>график!G37</f>
        <v>1.0306999999999999</v>
      </c>
      <c r="AX264" s="302"/>
      <c r="AY264" s="302"/>
      <c r="AZ264" s="303"/>
      <c r="BA264" s="304"/>
      <c r="BB264" s="305"/>
      <c r="BC264" s="305"/>
      <c r="BD264" s="305"/>
      <c r="BE264" s="305"/>
      <c r="BF264" s="305"/>
      <c r="BG264" s="305"/>
      <c r="BH264" s="306"/>
      <c r="BI264" s="116"/>
      <c r="BJ264" s="116"/>
      <c r="BK264" s="116"/>
      <c r="BL264" s="116"/>
      <c r="BM264" s="116"/>
      <c r="BN264" s="116"/>
      <c r="BO264" s="116"/>
      <c r="BP264" s="116"/>
      <c r="BQ264" s="116"/>
      <c r="BR264" s="116"/>
      <c r="BS264" s="116"/>
      <c r="BT264" s="116"/>
      <c r="BU264" s="116"/>
      <c r="BV264" s="116"/>
      <c r="BW264" s="116"/>
      <c r="BX264" s="116"/>
      <c r="BY264" s="116"/>
      <c r="BZ264" s="116"/>
      <c r="CA264" s="116"/>
      <c r="CB264" s="116"/>
      <c r="CC264" s="116"/>
      <c r="CD264" s="116"/>
      <c r="CE264" s="116"/>
      <c r="CF264" s="116"/>
      <c r="CG264" s="116"/>
      <c r="CH264" s="116"/>
      <c r="CI264" s="116"/>
      <c r="CJ264" s="116"/>
      <c r="CK264" s="116"/>
      <c r="CL264" s="116"/>
      <c r="CM264" s="116"/>
      <c r="CN264" s="116"/>
      <c r="CO264" s="116"/>
      <c r="CP264" s="116"/>
      <c r="CQ264" s="116"/>
      <c r="CR264" s="116"/>
      <c r="CS264" s="116"/>
      <c r="CT264" s="116"/>
      <c r="CU264" s="116"/>
      <c r="CV264" s="116"/>
      <c r="CW264" s="116"/>
      <c r="CX264" s="116"/>
      <c r="CY264" s="116"/>
      <c r="CZ264" s="116"/>
      <c r="DA264" s="116"/>
      <c r="DB264" s="148"/>
    </row>
    <row r="265" spans="1:106" s="117" customFormat="1" ht="12" customHeight="1" x14ac:dyDescent="0.2">
      <c r="A265" s="270" t="s">
        <v>251</v>
      </c>
      <c r="B265" s="271"/>
      <c r="C265" s="271"/>
      <c r="D265" s="271"/>
      <c r="E265" s="271"/>
      <c r="F265" s="271"/>
      <c r="G265" s="271"/>
      <c r="H265" s="271"/>
      <c r="I265" s="271"/>
      <c r="J265" s="271"/>
      <c r="K265" s="271"/>
      <c r="L265" s="271"/>
      <c r="M265" s="271"/>
      <c r="N265" s="271"/>
      <c r="O265" s="271"/>
      <c r="P265" s="271"/>
      <c r="Q265" s="271"/>
      <c r="R265" s="271"/>
      <c r="S265" s="271"/>
      <c r="T265" s="271"/>
      <c r="U265" s="271"/>
      <c r="V265" s="271"/>
      <c r="W265" s="272"/>
      <c r="X265" s="273" t="s">
        <v>39</v>
      </c>
      <c r="Y265" s="274"/>
      <c r="Z265" s="274"/>
      <c r="AA265" s="46" t="s">
        <v>28</v>
      </c>
      <c r="AB265" s="208">
        <v>0.5</v>
      </c>
      <c r="AC265" s="208"/>
      <c r="AD265" s="208"/>
      <c r="AE265" s="208"/>
      <c r="AF265" s="282" t="s">
        <v>40</v>
      </c>
      <c r="AG265" s="274"/>
      <c r="AH265" s="274"/>
      <c r="AI265" s="274"/>
      <c r="AJ265" s="274"/>
      <c r="AK265" s="46" t="s">
        <v>28</v>
      </c>
      <c r="AL265" s="257">
        <v>12</v>
      </c>
      <c r="AM265" s="258"/>
      <c r="AN265" s="258"/>
      <c r="AO265" s="258"/>
      <c r="AP265" s="258"/>
      <c r="AQ265" s="288"/>
      <c r="AR265" s="288"/>
      <c r="AS265" s="209"/>
      <c r="AT265" s="209"/>
      <c r="AU265" s="209"/>
      <c r="AV265" s="127"/>
      <c r="AW265" s="315"/>
      <c r="AX265" s="217"/>
      <c r="AY265" s="217"/>
      <c r="AZ265" s="218"/>
      <c r="BA265" s="219"/>
      <c r="BB265" s="220"/>
      <c r="BC265" s="220"/>
      <c r="BD265" s="220"/>
      <c r="BE265" s="220"/>
      <c r="BF265" s="221"/>
      <c r="BG265" s="221"/>
      <c r="BH265" s="222"/>
      <c r="BI265" s="116"/>
      <c r="BJ265" s="116"/>
      <c r="BK265" s="116"/>
      <c r="BL265" s="116"/>
      <c r="BM265" s="116"/>
      <c r="BN265" s="116"/>
      <c r="BO265" s="116"/>
      <c r="BP265" s="116"/>
      <c r="BQ265" s="116"/>
      <c r="BR265" s="116"/>
      <c r="BS265" s="116"/>
      <c r="BT265" s="116"/>
      <c r="BU265" s="116"/>
      <c r="BV265" s="116"/>
      <c r="BW265" s="116"/>
      <c r="BX265" s="116"/>
      <c r="BY265" s="116"/>
      <c r="BZ265" s="116"/>
      <c r="CA265" s="116"/>
      <c r="CB265" s="116"/>
      <c r="CC265" s="116"/>
      <c r="CD265" s="116"/>
      <c r="CE265" s="116"/>
      <c r="CF265" s="116"/>
      <c r="CG265" s="116"/>
      <c r="CH265" s="116"/>
      <c r="CI265" s="116"/>
      <c r="CJ265" s="116"/>
      <c r="CK265" s="116"/>
      <c r="CL265" s="116"/>
      <c r="CM265" s="116"/>
      <c r="CN265" s="116"/>
      <c r="CO265" s="116"/>
      <c r="CP265" s="116"/>
      <c r="CQ265" s="116"/>
      <c r="CR265" s="116"/>
      <c r="CS265" s="116"/>
      <c r="CT265" s="116"/>
      <c r="CU265" s="116"/>
      <c r="CV265" s="116"/>
      <c r="CW265" s="116"/>
      <c r="CX265" s="116"/>
      <c r="CY265" s="116"/>
      <c r="CZ265" s="116"/>
      <c r="DA265" s="116"/>
      <c r="DB265" s="148"/>
    </row>
    <row r="266" spans="1:106" s="117" customFormat="1" ht="12" customHeight="1" x14ac:dyDescent="0.2">
      <c r="A266" s="270"/>
      <c r="B266" s="271"/>
      <c r="C266" s="271"/>
      <c r="D266" s="271"/>
      <c r="E266" s="271"/>
      <c r="F266" s="271"/>
      <c r="G266" s="271"/>
      <c r="H266" s="271"/>
      <c r="I266" s="271"/>
      <c r="J266" s="271"/>
      <c r="K266" s="271"/>
      <c r="L266" s="271"/>
      <c r="M266" s="271"/>
      <c r="N266" s="271"/>
      <c r="O266" s="271"/>
      <c r="P266" s="271"/>
      <c r="Q266" s="271"/>
      <c r="R266" s="271"/>
      <c r="S266" s="271"/>
      <c r="T266" s="271"/>
      <c r="U266" s="271"/>
      <c r="V266" s="271"/>
      <c r="W266" s="272"/>
      <c r="X266" s="273" t="s">
        <v>43</v>
      </c>
      <c r="Y266" s="274"/>
      <c r="Z266" s="274"/>
      <c r="AA266" s="46" t="s">
        <v>28</v>
      </c>
      <c r="AB266" s="217">
        <v>1</v>
      </c>
      <c r="AC266" s="217"/>
      <c r="AD266" s="217"/>
      <c r="AE266" s="217"/>
      <c r="AF266" s="282" t="s">
        <v>44</v>
      </c>
      <c r="AG266" s="274"/>
      <c r="AH266" s="274"/>
      <c r="AI266" s="274"/>
      <c r="AJ266" s="274"/>
      <c r="AK266" s="46" t="s">
        <v>28</v>
      </c>
      <c r="AL266" s="257">
        <v>22</v>
      </c>
      <c r="AM266" s="258"/>
      <c r="AN266" s="258"/>
      <c r="AO266" s="258"/>
      <c r="AP266" s="258"/>
      <c r="AQ266" s="137"/>
      <c r="AR266" s="137"/>
      <c r="AS266" s="137"/>
      <c r="AT266" s="137"/>
      <c r="AU266" s="137"/>
      <c r="AV266" s="137"/>
      <c r="AW266" s="137"/>
      <c r="AX266" s="137"/>
      <c r="AY266" s="137"/>
      <c r="AZ266" s="166"/>
      <c r="BA266" s="219"/>
      <c r="BB266" s="220"/>
      <c r="BC266" s="220"/>
      <c r="BD266" s="220"/>
      <c r="BE266" s="220"/>
      <c r="BF266" s="221"/>
      <c r="BG266" s="221"/>
      <c r="BH266" s="222"/>
      <c r="BI266" s="116"/>
      <c r="BJ266" s="116"/>
      <c r="BK266" s="116"/>
      <c r="BL266" s="116"/>
      <c r="BM266" s="116"/>
      <c r="BN266" s="116"/>
      <c r="BO266" s="116"/>
      <c r="BP266" s="116"/>
      <c r="BQ266" s="116"/>
      <c r="BR266" s="116"/>
      <c r="BS266" s="116"/>
      <c r="BT266" s="116"/>
      <c r="BU266" s="116"/>
      <c r="BV266" s="116"/>
      <c r="BW266" s="116"/>
      <c r="BX266" s="116"/>
      <c r="BY266" s="116"/>
      <c r="BZ266" s="116"/>
      <c r="CA266" s="116"/>
      <c r="CB266" s="116"/>
      <c r="CC266" s="116"/>
      <c r="CD266" s="116"/>
      <c r="CE266" s="116"/>
      <c r="CF266" s="116"/>
      <c r="CG266" s="116"/>
      <c r="CH266" s="116"/>
      <c r="CI266" s="116"/>
      <c r="CJ266" s="116"/>
      <c r="CK266" s="116"/>
      <c r="CL266" s="116"/>
      <c r="CM266" s="116"/>
      <c r="CN266" s="116"/>
      <c r="CO266" s="116"/>
      <c r="CP266" s="116"/>
      <c r="CQ266" s="116"/>
      <c r="CR266" s="116"/>
      <c r="CS266" s="116"/>
      <c r="CT266" s="116"/>
      <c r="CU266" s="116"/>
      <c r="CV266" s="116"/>
      <c r="CW266" s="116"/>
      <c r="CX266" s="116"/>
      <c r="CY266" s="116"/>
      <c r="CZ266" s="116"/>
      <c r="DA266" s="116"/>
      <c r="DB266" s="148"/>
    </row>
    <row r="267" spans="1:106" s="117" customFormat="1" ht="12" customHeight="1" x14ac:dyDescent="0.2">
      <c r="A267" s="270"/>
      <c r="B267" s="271"/>
      <c r="C267" s="271"/>
      <c r="D267" s="271"/>
      <c r="E267" s="271"/>
      <c r="F267" s="271"/>
      <c r="G267" s="271"/>
      <c r="H267" s="271"/>
      <c r="I267" s="271"/>
      <c r="J267" s="271"/>
      <c r="K267" s="271"/>
      <c r="L267" s="271"/>
      <c r="M267" s="271"/>
      <c r="N267" s="271"/>
      <c r="O267" s="271"/>
      <c r="P267" s="271"/>
      <c r="Q267" s="271"/>
      <c r="R267" s="271"/>
      <c r="S267" s="271"/>
      <c r="T267" s="271"/>
      <c r="U267" s="271"/>
      <c r="V267" s="271"/>
      <c r="W267" s="272"/>
      <c r="X267" s="259" t="s">
        <v>22</v>
      </c>
      <c r="Y267" s="260"/>
      <c r="Z267" s="260"/>
      <c r="AA267" s="123" t="s">
        <v>28</v>
      </c>
      <c r="AB267" s="217" t="str">
        <f>CONCATENATE(AL265," + [(",AL266," - ", AL265,") / (",AB266," - ", AB265,")] x (",D268," - ",AB265,")  = ")</f>
        <v xml:space="preserve">12 + [(22 - 12) / (1 - 0,5)] x (0,79 - 0,5)  = </v>
      </c>
      <c r="AC267" s="217"/>
      <c r="AD267" s="217"/>
      <c r="AE267" s="217"/>
      <c r="AF267" s="217"/>
      <c r="AG267" s="217"/>
      <c r="AH267" s="217"/>
      <c r="AI267" s="217"/>
      <c r="AJ267" s="217"/>
      <c r="AK267" s="217"/>
      <c r="AL267" s="217"/>
      <c r="AM267" s="217"/>
      <c r="AN267" s="217"/>
      <c r="AO267" s="217"/>
      <c r="AP267" s="217"/>
      <c r="AQ267" s="217"/>
      <c r="AR267" s="217"/>
      <c r="AS267" s="217"/>
      <c r="AT267" s="217"/>
      <c r="AU267" s="217"/>
      <c r="AV267" s="217"/>
      <c r="AW267" s="217"/>
      <c r="AX267" s="217"/>
      <c r="AY267" s="217"/>
      <c r="AZ267" s="218"/>
      <c r="BA267" s="219">
        <f>ROUND(AL265 + ((AL266-AL265) / (AB266-AB265)) * (D268-AB265),2)</f>
        <v>17.8</v>
      </c>
      <c r="BB267" s="220"/>
      <c r="BC267" s="220"/>
      <c r="BD267" s="220"/>
      <c r="BE267" s="220"/>
      <c r="BF267" s="221" t="s">
        <v>182</v>
      </c>
      <c r="BG267" s="221"/>
      <c r="BH267" s="222"/>
      <c r="BI267" s="116"/>
      <c r="BJ267" s="175" t="s">
        <v>190</v>
      </c>
      <c r="BK267" s="116"/>
      <c r="BL267" s="116"/>
      <c r="BM267" s="116"/>
      <c r="BN267" s="116"/>
      <c r="BO267" s="116"/>
      <c r="BP267" s="116"/>
      <c r="BQ267" s="116"/>
      <c r="BR267" s="116"/>
      <c r="BS267" s="116"/>
      <c r="BT267" s="116"/>
      <c r="BU267" s="116"/>
      <c r="BV267" s="116"/>
      <c r="BW267" s="116"/>
      <c r="BX267" s="116"/>
      <c r="BY267" s="116"/>
      <c r="BZ267" s="116"/>
      <c r="CA267" s="116"/>
      <c r="CB267" s="116"/>
      <c r="CC267" s="116"/>
      <c r="CD267" s="116"/>
      <c r="CE267" s="116"/>
      <c r="CF267" s="116"/>
      <c r="CG267" s="116"/>
      <c r="CH267" s="116"/>
      <c r="CI267" s="116"/>
      <c r="CJ267" s="116"/>
      <c r="CK267" s="116"/>
      <c r="CL267" s="116"/>
      <c r="CM267" s="116"/>
      <c r="CN267" s="116"/>
      <c r="CO267" s="116"/>
      <c r="CP267" s="116"/>
      <c r="CQ267" s="116"/>
      <c r="CR267" s="116"/>
      <c r="CS267" s="116"/>
      <c r="CT267" s="116"/>
      <c r="CU267" s="116"/>
      <c r="CV267" s="116"/>
      <c r="CW267" s="116"/>
      <c r="CX267" s="116"/>
      <c r="CY267" s="116"/>
      <c r="CZ267" s="116"/>
      <c r="DA267" s="116"/>
      <c r="DB267" s="148"/>
    </row>
    <row r="268" spans="1:106" s="117" customFormat="1" ht="12" customHeight="1" x14ac:dyDescent="0.25">
      <c r="A268" s="223" t="s">
        <v>189</v>
      </c>
      <c r="B268" s="224"/>
      <c r="C268" s="142" t="s">
        <v>28</v>
      </c>
      <c r="D268" s="261">
        <v>0.79</v>
      </c>
      <c r="E268" s="261"/>
      <c r="F268" s="261"/>
      <c r="G268" s="261"/>
      <c r="H268" s="261"/>
      <c r="I268" s="226" t="s">
        <v>255</v>
      </c>
      <c r="J268" s="226"/>
      <c r="K268" s="226"/>
      <c r="L268" s="226"/>
      <c r="M268" s="226"/>
      <c r="N268" s="226"/>
      <c r="O268" s="149"/>
      <c r="P268" s="149"/>
      <c r="Q268" s="149"/>
      <c r="R268" s="224"/>
      <c r="S268" s="224"/>
      <c r="T268" s="142"/>
      <c r="U268" s="227"/>
      <c r="V268" s="226"/>
      <c r="W268" s="228"/>
      <c r="X268" s="229" t="s">
        <v>181</v>
      </c>
      <c r="Y268" s="230"/>
      <c r="Z268" s="230"/>
      <c r="AA268" s="126" t="s">
        <v>28</v>
      </c>
      <c r="AB268" s="231" t="str">
        <f>CONCATENATE(BA267," x ",$AO$17," x ", AP264," x [1 + 0,5 x (",AW264," - 1)]  = ")</f>
        <v xml:space="preserve">17,8 x 307,7 x 1,1263 x [1 + 0,5 x (1,0307 - 1)]  = </v>
      </c>
      <c r="AC268" s="231"/>
      <c r="AD268" s="231"/>
      <c r="AE268" s="231"/>
      <c r="AF268" s="231"/>
      <c r="AG268" s="231"/>
      <c r="AH268" s="231"/>
      <c r="AI268" s="231"/>
      <c r="AJ268" s="231"/>
      <c r="AK268" s="231"/>
      <c r="AL268" s="231"/>
      <c r="AM268" s="231"/>
      <c r="AN268" s="231"/>
      <c r="AO268" s="231"/>
      <c r="AP268" s="231"/>
      <c r="AQ268" s="231"/>
      <c r="AR268" s="231"/>
      <c r="AS268" s="231"/>
      <c r="AT268" s="231"/>
      <c r="AU268" s="231"/>
      <c r="AV268" s="231"/>
      <c r="AW268" s="231"/>
      <c r="AX268" s="231"/>
      <c r="AY268" s="231"/>
      <c r="AZ268" s="232"/>
      <c r="BA268" s="233">
        <f>ROUND(BA267*$AO$17*AP264*(1+0.5*(AW264-1)),2)</f>
        <v>6263.5</v>
      </c>
      <c r="BB268" s="234"/>
      <c r="BC268" s="234"/>
      <c r="BD268" s="234"/>
      <c r="BE268" s="234"/>
      <c r="BF268" s="235" t="s">
        <v>23</v>
      </c>
      <c r="BG268" s="235"/>
      <c r="BH268" s="236"/>
      <c r="BI268" s="116"/>
      <c r="BJ268" s="116"/>
      <c r="BK268" s="116"/>
      <c r="BL268" s="116"/>
      <c r="BM268" s="116"/>
      <c r="BN268" s="116"/>
      <c r="BO268" s="116"/>
      <c r="BP268" s="116"/>
      <c r="BQ268" s="116"/>
      <c r="BR268" s="116"/>
      <c r="BS268" s="116"/>
      <c r="BT268" s="116"/>
      <c r="BU268" s="116"/>
      <c r="BV268" s="116"/>
      <c r="BW268" s="116"/>
      <c r="BX268" s="116"/>
      <c r="BY268" s="116"/>
      <c r="BZ268" s="116"/>
      <c r="CA268" s="116"/>
      <c r="CB268" s="116"/>
      <c r="CC268" s="116"/>
      <c r="CD268" s="116"/>
      <c r="CE268" s="116"/>
      <c r="CF268" s="116"/>
      <c r="CG268" s="116"/>
      <c r="CH268" s="116"/>
      <c r="CI268" s="116"/>
      <c r="CJ268" s="116"/>
      <c r="CK268" s="116"/>
      <c r="CL268" s="116"/>
      <c r="CM268" s="116"/>
      <c r="CN268" s="116"/>
      <c r="CO268" s="116"/>
      <c r="CP268" s="116"/>
      <c r="CQ268" s="116"/>
      <c r="CR268" s="116"/>
      <c r="CS268" s="116"/>
      <c r="CT268" s="116"/>
      <c r="CU268" s="116"/>
      <c r="CV268" s="116"/>
      <c r="CW268" s="116"/>
      <c r="CX268" s="116"/>
      <c r="CY268" s="116"/>
      <c r="CZ268" s="116"/>
      <c r="DA268" s="116"/>
      <c r="DB268" s="148"/>
    </row>
    <row r="269" spans="1:106" ht="12" customHeight="1" x14ac:dyDescent="0.2">
      <c r="A269" s="132" t="s">
        <v>241</v>
      </c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  <c r="AF269" s="133"/>
      <c r="AG269" s="133"/>
      <c r="AH269" s="133"/>
      <c r="AI269" s="133"/>
      <c r="AJ269" s="133"/>
      <c r="AK269" s="134"/>
      <c r="AL269" s="134"/>
      <c r="AM269" s="134"/>
      <c r="AN269" s="134"/>
      <c r="AO269" s="134"/>
      <c r="AP269" s="134"/>
      <c r="AQ269" s="135"/>
      <c r="AR269" s="136"/>
      <c r="AS269" s="135"/>
      <c r="AT269" s="135"/>
      <c r="AU269" s="135"/>
      <c r="AV269" s="135"/>
      <c r="AW269" s="240" t="s">
        <v>22</v>
      </c>
      <c r="AX269" s="240"/>
      <c r="AY269" s="240"/>
      <c r="AZ269" s="188" t="s">
        <v>28</v>
      </c>
      <c r="BA269" s="241">
        <f>BA254+BA262+BA267</f>
        <v>234.20000000000002</v>
      </c>
      <c r="BB269" s="241"/>
      <c r="BC269" s="241"/>
      <c r="BD269" s="241"/>
      <c r="BE269" s="241"/>
      <c r="BF269" s="189" t="s">
        <v>182</v>
      </c>
      <c r="BG269" s="189"/>
      <c r="BH269" s="190"/>
    </row>
    <row r="270" spans="1:106" s="117" customFormat="1" ht="12" customHeight="1" x14ac:dyDescent="0.2">
      <c r="A270" s="262" t="s">
        <v>179</v>
      </c>
      <c r="B270" s="263"/>
      <c r="C270" s="263"/>
      <c r="D270" s="263"/>
      <c r="E270" s="263"/>
      <c r="F270" s="263"/>
      <c r="G270" s="263"/>
      <c r="H270" s="263"/>
      <c r="I270" s="263"/>
      <c r="J270" s="263"/>
      <c r="K270" s="263"/>
      <c r="L270" s="263"/>
      <c r="M270" s="263"/>
      <c r="N270" s="263"/>
      <c r="O270" s="263"/>
      <c r="P270" s="263"/>
      <c r="Q270" s="263"/>
      <c r="R270" s="263"/>
      <c r="S270" s="263"/>
      <c r="T270" s="263"/>
      <c r="U270" s="263"/>
      <c r="V270" s="263"/>
      <c r="W270" s="263"/>
      <c r="X270" s="140"/>
      <c r="Y270" s="140"/>
      <c r="Z270" s="140"/>
      <c r="AA270" s="140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143"/>
      <c r="AP270" s="143"/>
      <c r="AQ270" s="143"/>
      <c r="AR270" s="143"/>
      <c r="AS270" s="143"/>
      <c r="AT270" s="144"/>
      <c r="AU270" s="144"/>
      <c r="AV270" s="145"/>
      <c r="AW270" s="264" t="s">
        <v>186</v>
      </c>
      <c r="AX270" s="264"/>
      <c r="AY270" s="264"/>
      <c r="AZ270" s="141" t="s">
        <v>28</v>
      </c>
      <c r="BA270" s="265">
        <f>BA255+BA263+BA268</f>
        <v>82410.810000000012</v>
      </c>
      <c r="BB270" s="265"/>
      <c r="BC270" s="265"/>
      <c r="BD270" s="265"/>
      <c r="BE270" s="265"/>
      <c r="BF270" s="266" t="s">
        <v>23</v>
      </c>
      <c r="BG270" s="266"/>
      <c r="BH270" s="267"/>
      <c r="BI270" s="116"/>
      <c r="BJ270" s="116"/>
      <c r="BK270" s="116"/>
      <c r="BL270" s="116"/>
      <c r="BM270" s="116"/>
      <c r="BN270" s="116"/>
      <c r="BO270" s="116"/>
      <c r="BP270" s="116"/>
      <c r="BQ270" s="116"/>
      <c r="BR270" s="116"/>
      <c r="BS270" s="116"/>
      <c r="BT270" s="116"/>
      <c r="BU270" s="116"/>
      <c r="BV270" s="116"/>
      <c r="BW270" s="116"/>
      <c r="BX270" s="116"/>
      <c r="BY270" s="116"/>
      <c r="BZ270" s="116"/>
      <c r="CA270" s="116"/>
      <c r="CB270" s="116"/>
      <c r="CC270" s="116"/>
      <c r="CD270" s="116"/>
      <c r="CE270" s="116"/>
      <c r="CF270" s="116"/>
      <c r="CG270" s="116"/>
      <c r="CH270" s="116"/>
      <c r="CI270" s="116"/>
      <c r="CJ270" s="116"/>
      <c r="CK270" s="116"/>
      <c r="CL270" s="116"/>
      <c r="CM270" s="116"/>
      <c r="CN270" s="116"/>
      <c r="CO270" s="116"/>
      <c r="CP270" s="116"/>
      <c r="CQ270" s="116"/>
      <c r="CR270" s="116"/>
      <c r="CS270" s="116"/>
      <c r="CT270" s="116"/>
      <c r="CU270" s="116"/>
      <c r="CV270" s="116"/>
      <c r="CW270" s="116"/>
      <c r="CX270" s="116"/>
      <c r="CY270" s="116"/>
      <c r="CZ270" s="116"/>
      <c r="DA270" s="116"/>
      <c r="DB270" s="148"/>
    </row>
    <row r="271" spans="1:106" s="1" customFormat="1" ht="13.5" customHeight="1" x14ac:dyDescent="0.2">
      <c r="A271" s="328" t="str">
        <f>график!A38</f>
        <v>10</v>
      </c>
      <c r="B271" s="329"/>
      <c r="C271" s="330" t="str">
        <f>график!B38</f>
        <v>УСЛУГИ ПО ЗАВЕРШЕНИЮ СТРОИТЕЛЬСТВА И ПРИЕМКЕ ОБЪЕКТА В ЭКСПЛУАТАЦИЮ</v>
      </c>
      <c r="D271" s="331"/>
      <c r="E271" s="331"/>
      <c r="F271" s="331"/>
      <c r="G271" s="331"/>
      <c r="H271" s="331"/>
      <c r="I271" s="331"/>
      <c r="J271" s="331"/>
      <c r="K271" s="331"/>
      <c r="L271" s="331"/>
      <c r="M271" s="331"/>
      <c r="N271" s="331"/>
      <c r="O271" s="331"/>
      <c r="P271" s="331"/>
      <c r="Q271" s="331"/>
      <c r="R271" s="331"/>
      <c r="S271" s="331"/>
      <c r="T271" s="331"/>
      <c r="U271" s="331"/>
      <c r="V271" s="331"/>
      <c r="W271" s="331"/>
      <c r="X271" s="331"/>
      <c r="Y271" s="331"/>
      <c r="Z271" s="331"/>
      <c r="AA271" s="331"/>
      <c r="AB271" s="331"/>
      <c r="AC271" s="331"/>
      <c r="AD271" s="331"/>
      <c r="AE271" s="331"/>
      <c r="AF271" s="331"/>
      <c r="AG271" s="331"/>
      <c r="AH271" s="331"/>
      <c r="AI271" s="331"/>
      <c r="AJ271" s="331"/>
      <c r="AK271" s="331"/>
      <c r="AL271" s="331"/>
      <c r="AM271" s="331"/>
      <c r="AN271" s="331"/>
      <c r="AO271" s="331"/>
      <c r="AP271" s="331"/>
      <c r="AQ271" s="331"/>
      <c r="AR271" s="331"/>
      <c r="AS271" s="331"/>
      <c r="AT271" s="331"/>
      <c r="AU271" s="331"/>
      <c r="AV271" s="331"/>
      <c r="AW271" s="331"/>
      <c r="AX271" s="331"/>
      <c r="AY271" s="331"/>
      <c r="AZ271" s="331"/>
      <c r="BA271" s="331"/>
      <c r="BB271" s="331"/>
      <c r="BC271" s="331"/>
      <c r="BD271" s="331"/>
      <c r="BE271" s="331"/>
      <c r="BF271" s="331"/>
      <c r="BG271" s="331"/>
      <c r="BH271" s="332"/>
      <c r="BI271" s="116"/>
    </row>
    <row r="272" spans="1:106" s="119" customFormat="1" ht="12" customHeight="1" x14ac:dyDescent="0.2">
      <c r="A272" s="307" t="str">
        <f>график!A39</f>
        <v>10.1</v>
      </c>
      <c r="B272" s="308"/>
      <c r="C272" s="309" t="str">
        <f>график!B39</f>
        <v>организация приемки объекта в эксплуатацию</v>
      </c>
      <c r="D272" s="309"/>
      <c r="E272" s="309"/>
      <c r="F272" s="309"/>
      <c r="G272" s="309"/>
      <c r="H272" s="309"/>
      <c r="I272" s="309"/>
      <c r="J272" s="309"/>
      <c r="K272" s="309"/>
      <c r="L272" s="309"/>
      <c r="M272" s="309"/>
      <c r="N272" s="309"/>
      <c r="O272" s="309"/>
      <c r="P272" s="309"/>
      <c r="Q272" s="309"/>
      <c r="R272" s="309"/>
      <c r="S272" s="309"/>
      <c r="T272" s="309"/>
      <c r="U272" s="309"/>
      <c r="V272" s="309"/>
      <c r="W272" s="309"/>
      <c r="X272" s="309"/>
      <c r="Y272" s="309"/>
      <c r="Z272" s="309"/>
      <c r="AA272" s="309"/>
      <c r="AB272" s="309"/>
      <c r="AC272" s="309"/>
      <c r="AD272" s="309"/>
      <c r="AE272" s="309"/>
      <c r="AF272" s="309"/>
      <c r="AG272" s="309"/>
      <c r="AH272" s="309"/>
      <c r="AI272" s="309"/>
      <c r="AJ272" s="309"/>
      <c r="AK272" s="309"/>
      <c r="AL272" s="309"/>
      <c r="AM272" s="309"/>
      <c r="AN272" s="309"/>
      <c r="AO272" s="309"/>
      <c r="AP272" s="309"/>
      <c r="AQ272" s="309"/>
      <c r="AR272" s="309"/>
      <c r="AS272" s="309"/>
      <c r="AT272" s="309"/>
      <c r="AU272" s="309"/>
      <c r="AV272" s="309"/>
      <c r="AW272" s="309"/>
      <c r="AX272" s="309"/>
      <c r="AY272" s="309"/>
      <c r="AZ272" s="309"/>
      <c r="BA272" s="310" t="s">
        <v>264</v>
      </c>
      <c r="BB272" s="310"/>
      <c r="BC272" s="310"/>
      <c r="BD272" s="310"/>
      <c r="BE272" s="310"/>
      <c r="BF272" s="310"/>
      <c r="BG272" s="310"/>
      <c r="BH272" s="311"/>
      <c r="BI272" s="146"/>
      <c r="BJ272" s="146"/>
      <c r="BK272" s="146"/>
      <c r="BL272" s="146"/>
      <c r="BM272" s="146"/>
      <c r="BN272" s="146"/>
      <c r="BO272" s="146"/>
      <c r="BP272" s="146"/>
      <c r="BQ272" s="146"/>
      <c r="BR272" s="146"/>
      <c r="BS272" s="146"/>
      <c r="BT272" s="146"/>
      <c r="BU272" s="146"/>
      <c r="BV272" s="146"/>
      <c r="BW272" s="146"/>
      <c r="BX272" s="146"/>
      <c r="BY272" s="146"/>
      <c r="BZ272" s="146"/>
      <c r="CA272" s="146"/>
      <c r="CB272" s="146"/>
      <c r="CC272" s="146"/>
      <c r="CD272" s="146"/>
      <c r="CE272" s="146"/>
      <c r="CF272" s="146"/>
      <c r="CG272" s="146"/>
      <c r="CH272" s="146"/>
      <c r="CI272" s="146"/>
      <c r="CJ272" s="146"/>
      <c r="CK272" s="146"/>
      <c r="CL272" s="146"/>
      <c r="CM272" s="146"/>
      <c r="CN272" s="146"/>
      <c r="CO272" s="146"/>
      <c r="CP272" s="146"/>
      <c r="CQ272" s="146"/>
      <c r="CR272" s="146"/>
      <c r="CS272" s="146"/>
      <c r="CT272" s="146"/>
      <c r="CU272" s="146"/>
      <c r="CV272" s="146"/>
      <c r="CW272" s="146"/>
      <c r="CX272" s="146"/>
      <c r="CY272" s="146"/>
      <c r="CZ272" s="146"/>
      <c r="DA272" s="146"/>
      <c r="DB272" s="147"/>
    </row>
    <row r="273" spans="1:106" s="117" customFormat="1" ht="12" customHeight="1" x14ac:dyDescent="0.25">
      <c r="A273" s="237" t="s">
        <v>200</v>
      </c>
      <c r="B273" s="238"/>
      <c r="C273" s="238"/>
      <c r="D273" s="238"/>
      <c r="E273" s="238"/>
      <c r="F273" s="238"/>
      <c r="G273" s="238"/>
      <c r="H273" s="238"/>
      <c r="I273" s="238"/>
      <c r="J273" s="238"/>
      <c r="K273" s="238"/>
      <c r="L273" s="238"/>
      <c r="M273" s="238"/>
      <c r="N273" s="238"/>
      <c r="O273" s="238"/>
      <c r="P273" s="238"/>
      <c r="Q273" s="238"/>
      <c r="R273" s="238"/>
      <c r="S273" s="238"/>
      <c r="T273" s="238"/>
      <c r="U273" s="238"/>
      <c r="V273" s="238"/>
      <c r="W273" s="239"/>
      <c r="X273" s="275" t="s">
        <v>45</v>
      </c>
      <c r="Y273" s="276"/>
      <c r="Z273" s="276"/>
      <c r="AA273" s="276"/>
      <c r="AB273" s="277" t="str">
        <f>график!C39</f>
        <v>янв 2025</v>
      </c>
      <c r="AC273" s="278"/>
      <c r="AD273" s="278"/>
      <c r="AE273" s="278"/>
      <c r="AF273" s="278"/>
      <c r="AG273" s="122" t="s">
        <v>1</v>
      </c>
      <c r="AH273" s="279" t="str">
        <f>график!E39</f>
        <v>янв 2025</v>
      </c>
      <c r="AI273" s="280"/>
      <c r="AJ273" s="280"/>
      <c r="AK273" s="280"/>
      <c r="AL273" s="280"/>
      <c r="AM273" s="211" t="s">
        <v>177</v>
      </c>
      <c r="AN273" s="211"/>
      <c r="AO273" s="120" t="s">
        <v>28</v>
      </c>
      <c r="AP273" s="281">
        <f>график!F39</f>
        <v>1.1521999999999999</v>
      </c>
      <c r="AQ273" s="281"/>
      <c r="AR273" s="281"/>
      <c r="AS273" s="281"/>
      <c r="AT273" s="211" t="s">
        <v>178</v>
      </c>
      <c r="AU273" s="211"/>
      <c r="AV273" s="120" t="s">
        <v>28</v>
      </c>
      <c r="AW273" s="212">
        <f>график!G39</f>
        <v>1.0076000000000001</v>
      </c>
      <c r="AX273" s="212"/>
      <c r="AY273" s="212"/>
      <c r="AZ273" s="213"/>
      <c r="BA273" s="214"/>
      <c r="BB273" s="215"/>
      <c r="BC273" s="215"/>
      <c r="BD273" s="215"/>
      <c r="BE273" s="215"/>
      <c r="BF273" s="215"/>
      <c r="BG273" s="215"/>
      <c r="BH273" s="216"/>
      <c r="BI273" s="116"/>
      <c r="BJ273" s="116"/>
      <c r="BK273" s="116"/>
      <c r="BL273" s="116"/>
      <c r="BM273" s="116"/>
      <c r="BN273" s="116"/>
      <c r="BO273" s="116"/>
      <c r="BP273" s="116"/>
      <c r="BQ273" s="116"/>
      <c r="BR273" s="116"/>
      <c r="BS273" s="116"/>
      <c r="BT273" s="116"/>
      <c r="BU273" s="116"/>
      <c r="BV273" s="116"/>
      <c r="BW273" s="116"/>
      <c r="BX273" s="116"/>
      <c r="BY273" s="116"/>
      <c r="BZ273" s="116"/>
      <c r="CA273" s="116"/>
      <c r="CB273" s="116"/>
      <c r="CC273" s="116"/>
      <c r="CD273" s="116"/>
      <c r="CE273" s="116"/>
      <c r="CF273" s="116"/>
      <c r="CG273" s="116"/>
      <c r="CH273" s="116"/>
      <c r="CI273" s="116"/>
      <c r="CJ273" s="116"/>
      <c r="CK273" s="116"/>
      <c r="CL273" s="116"/>
      <c r="CM273" s="116"/>
      <c r="CN273" s="116"/>
      <c r="CO273" s="116"/>
      <c r="CP273" s="116"/>
      <c r="CQ273" s="116"/>
      <c r="CR273" s="116"/>
      <c r="CS273" s="116"/>
      <c r="CT273" s="116"/>
      <c r="CU273" s="116"/>
      <c r="CV273" s="116"/>
      <c r="CW273" s="116"/>
      <c r="CX273" s="116"/>
      <c r="CY273" s="116"/>
      <c r="CZ273" s="116"/>
      <c r="DA273" s="116"/>
      <c r="DB273" s="148"/>
    </row>
    <row r="274" spans="1:106" s="117" customFormat="1" ht="12" customHeight="1" x14ac:dyDescent="0.2">
      <c r="A274" s="270" t="s">
        <v>198</v>
      </c>
      <c r="B274" s="271"/>
      <c r="C274" s="271"/>
      <c r="D274" s="271"/>
      <c r="E274" s="271"/>
      <c r="F274" s="271"/>
      <c r="G274" s="271"/>
      <c r="H274" s="271"/>
      <c r="I274" s="271"/>
      <c r="J274" s="271"/>
      <c r="K274" s="271"/>
      <c r="L274" s="271"/>
      <c r="M274" s="271"/>
      <c r="N274" s="271"/>
      <c r="O274" s="271"/>
      <c r="P274" s="271"/>
      <c r="Q274" s="271"/>
      <c r="R274" s="271"/>
      <c r="S274" s="271"/>
      <c r="T274" s="271"/>
      <c r="U274" s="271"/>
      <c r="V274" s="271"/>
      <c r="W274" s="272"/>
      <c r="X274" s="273" t="s">
        <v>39</v>
      </c>
      <c r="Y274" s="274"/>
      <c r="Z274" s="274"/>
      <c r="AA274" s="46" t="s">
        <v>28</v>
      </c>
      <c r="AB274" s="217">
        <v>3000</v>
      </c>
      <c r="AC274" s="217"/>
      <c r="AD274" s="217"/>
      <c r="AE274" s="217"/>
      <c r="AF274" s="282" t="s">
        <v>40</v>
      </c>
      <c r="AG274" s="274"/>
      <c r="AH274" s="274"/>
      <c r="AI274" s="274"/>
      <c r="AJ274" s="274"/>
      <c r="AK274" s="46" t="s">
        <v>28</v>
      </c>
      <c r="AL274" s="283">
        <v>10.47</v>
      </c>
      <c r="AM274" s="284"/>
      <c r="AN274" s="284"/>
      <c r="AO274" s="284"/>
      <c r="AP274" s="284"/>
      <c r="AQ274" s="288"/>
      <c r="AR274" s="288"/>
      <c r="AS274" s="209"/>
      <c r="AT274" s="209"/>
      <c r="AU274" s="209"/>
      <c r="AV274" s="127"/>
      <c r="AW274" s="315" t="s">
        <v>183</v>
      </c>
      <c r="AX274" s="217"/>
      <c r="AY274" s="217"/>
      <c r="AZ274" s="218"/>
      <c r="BA274" s="219"/>
      <c r="BB274" s="220"/>
      <c r="BC274" s="220"/>
      <c r="BD274" s="220"/>
      <c r="BE274" s="220"/>
      <c r="BF274" s="221"/>
      <c r="BG274" s="221"/>
      <c r="BH274" s="222"/>
      <c r="BI274" s="116"/>
      <c r="BJ274" s="116"/>
      <c r="BK274" s="116"/>
      <c r="BL274" s="116"/>
      <c r="BM274" s="116"/>
      <c r="BN274" s="116"/>
      <c r="BO274" s="116"/>
      <c r="BP274" s="116"/>
      <c r="BQ274" s="116"/>
      <c r="BR274" s="116"/>
      <c r="BS274" s="116"/>
      <c r="BT274" s="116"/>
      <c r="BU274" s="116"/>
      <c r="BV274" s="116"/>
      <c r="BW274" s="116"/>
      <c r="BX274" s="116"/>
      <c r="BY274" s="116"/>
      <c r="BZ274" s="116"/>
      <c r="CA274" s="116"/>
      <c r="CB274" s="116"/>
      <c r="CC274" s="116"/>
      <c r="CD274" s="116"/>
      <c r="CE274" s="116"/>
      <c r="CF274" s="116"/>
      <c r="CG274" s="116"/>
      <c r="CH274" s="116"/>
      <c r="CI274" s="116"/>
      <c r="CJ274" s="116"/>
      <c r="CK274" s="116"/>
      <c r="CL274" s="116"/>
      <c r="CM274" s="116"/>
      <c r="CN274" s="116"/>
      <c r="CO274" s="116"/>
      <c r="CP274" s="116"/>
      <c r="CQ274" s="116"/>
      <c r="CR274" s="116"/>
      <c r="CS274" s="116"/>
      <c r="CT274" s="116"/>
      <c r="CU274" s="116"/>
      <c r="CV274" s="116"/>
      <c r="CW274" s="116"/>
      <c r="CX274" s="116"/>
      <c r="CY274" s="116"/>
      <c r="CZ274" s="116"/>
      <c r="DA274" s="116"/>
      <c r="DB274" s="148"/>
    </row>
    <row r="275" spans="1:106" s="117" customFormat="1" ht="12" customHeight="1" x14ac:dyDescent="0.2">
      <c r="A275" s="270"/>
      <c r="B275" s="271"/>
      <c r="C275" s="271"/>
      <c r="D275" s="271"/>
      <c r="E275" s="271"/>
      <c r="F275" s="271"/>
      <c r="G275" s="271"/>
      <c r="H275" s="271"/>
      <c r="I275" s="271"/>
      <c r="J275" s="271"/>
      <c r="K275" s="271"/>
      <c r="L275" s="271"/>
      <c r="M275" s="271"/>
      <c r="N275" s="271"/>
      <c r="O275" s="271"/>
      <c r="P275" s="271"/>
      <c r="Q275" s="271"/>
      <c r="R275" s="271"/>
      <c r="S275" s="271"/>
      <c r="T275" s="271"/>
      <c r="U275" s="271"/>
      <c r="V275" s="271"/>
      <c r="W275" s="272"/>
      <c r="X275" s="273" t="s">
        <v>43</v>
      </c>
      <c r="Y275" s="274"/>
      <c r="Z275" s="274"/>
      <c r="AA275" s="46" t="s">
        <v>28</v>
      </c>
      <c r="AB275" s="217">
        <v>4000</v>
      </c>
      <c r="AC275" s="217"/>
      <c r="AD275" s="217"/>
      <c r="AE275" s="217"/>
      <c r="AF275" s="282" t="s">
        <v>44</v>
      </c>
      <c r="AG275" s="274"/>
      <c r="AH275" s="274"/>
      <c r="AI275" s="274"/>
      <c r="AJ275" s="274"/>
      <c r="AK275" s="46" t="s">
        <v>28</v>
      </c>
      <c r="AL275" s="283">
        <v>12.04</v>
      </c>
      <c r="AM275" s="284"/>
      <c r="AN275" s="284"/>
      <c r="AO275" s="284"/>
      <c r="AP275" s="284"/>
      <c r="AQ275" s="137"/>
      <c r="AR275" s="137"/>
      <c r="AS275" s="137"/>
      <c r="AT275" s="137"/>
      <c r="AU275" s="137"/>
      <c r="AV275" s="137"/>
      <c r="AW275" s="137"/>
      <c r="AX275" s="137"/>
      <c r="AY275" s="137"/>
      <c r="AZ275" s="166"/>
      <c r="BA275" s="219"/>
      <c r="BB275" s="220"/>
      <c r="BC275" s="220"/>
      <c r="BD275" s="220"/>
      <c r="BE275" s="220"/>
      <c r="BF275" s="221"/>
      <c r="BG275" s="221"/>
      <c r="BH275" s="222"/>
      <c r="BI275" s="116"/>
      <c r="BJ275" s="116"/>
      <c r="BK275" s="116"/>
      <c r="BL275" s="116"/>
      <c r="BM275" s="116"/>
      <c r="BN275" s="116"/>
      <c r="BO275" s="116"/>
      <c r="BP275" s="116"/>
      <c r="BQ275" s="116"/>
      <c r="BR275" s="116"/>
      <c r="BS275" s="116"/>
      <c r="BT275" s="116"/>
      <c r="BU275" s="116"/>
      <c r="BV275" s="116"/>
      <c r="BW275" s="116"/>
      <c r="BX275" s="116"/>
      <c r="BY275" s="116"/>
      <c r="BZ275" s="116"/>
      <c r="CA275" s="116"/>
      <c r="CB275" s="116"/>
      <c r="CC275" s="116"/>
      <c r="CD275" s="116"/>
      <c r="CE275" s="116"/>
      <c r="CF275" s="116"/>
      <c r="CG275" s="116"/>
      <c r="CH275" s="116"/>
      <c r="CI275" s="116"/>
      <c r="CJ275" s="116"/>
      <c r="CK275" s="116"/>
      <c r="CL275" s="116"/>
      <c r="CM275" s="116"/>
      <c r="CN275" s="116"/>
      <c r="CO275" s="116"/>
      <c r="CP275" s="116"/>
      <c r="CQ275" s="116"/>
      <c r="CR275" s="116"/>
      <c r="CS275" s="116"/>
      <c r="CT275" s="116"/>
      <c r="CU275" s="116"/>
      <c r="CV275" s="116"/>
      <c r="CW275" s="116"/>
      <c r="CX275" s="116"/>
      <c r="CY275" s="116"/>
      <c r="CZ275" s="116"/>
      <c r="DA275" s="116"/>
      <c r="DB275" s="148"/>
    </row>
    <row r="276" spans="1:106" s="117" customFormat="1" ht="12" customHeight="1" x14ac:dyDescent="0.2">
      <c r="A276" s="270"/>
      <c r="B276" s="271"/>
      <c r="C276" s="271"/>
      <c r="D276" s="271"/>
      <c r="E276" s="271"/>
      <c r="F276" s="271"/>
      <c r="G276" s="271"/>
      <c r="H276" s="271"/>
      <c r="I276" s="271"/>
      <c r="J276" s="271"/>
      <c r="K276" s="271"/>
      <c r="L276" s="271"/>
      <c r="M276" s="271"/>
      <c r="N276" s="271"/>
      <c r="O276" s="271"/>
      <c r="P276" s="271"/>
      <c r="Q276" s="271"/>
      <c r="R276" s="271"/>
      <c r="S276" s="271"/>
      <c r="T276" s="271"/>
      <c r="U276" s="271"/>
      <c r="V276" s="271"/>
      <c r="W276" s="272"/>
      <c r="X276" s="259" t="s">
        <v>22</v>
      </c>
      <c r="Y276" s="260"/>
      <c r="Z276" s="260"/>
      <c r="AA276" s="123" t="s">
        <v>28</v>
      </c>
      <c r="AB276" s="217" t="str">
        <f>CONCATENATE(AL274," + [(",AL275," - ", AL274,") / (",AB275," - ", AB274,")] x (",D280," - ",AB274,")  = ")</f>
        <v xml:space="preserve">10,47 + [(12,04 - 10,47) / (4000 - 3000)] x (3310 - 3000)  = </v>
      </c>
      <c r="AC276" s="217"/>
      <c r="AD276" s="217"/>
      <c r="AE276" s="217"/>
      <c r="AF276" s="217"/>
      <c r="AG276" s="217"/>
      <c r="AH276" s="217"/>
      <c r="AI276" s="217"/>
      <c r="AJ276" s="217"/>
      <c r="AK276" s="217"/>
      <c r="AL276" s="217"/>
      <c r="AM276" s="217"/>
      <c r="AN276" s="217"/>
      <c r="AO276" s="217"/>
      <c r="AP276" s="217"/>
      <c r="AQ276" s="217"/>
      <c r="AR276" s="217"/>
      <c r="AS276" s="217"/>
      <c r="AT276" s="217"/>
      <c r="AU276" s="217"/>
      <c r="AV276" s="217"/>
      <c r="AW276" s="217"/>
      <c r="AX276" s="217"/>
      <c r="AY276" s="217"/>
      <c r="AZ276" s="218"/>
      <c r="BA276" s="219">
        <f>ROUND(AL274 + ((AL275-AL274) / (AB275-AB274)) * (D280-AB274),2)</f>
        <v>10.96</v>
      </c>
      <c r="BB276" s="220"/>
      <c r="BC276" s="220"/>
      <c r="BD276" s="220"/>
      <c r="BE276" s="220"/>
      <c r="BF276" s="221" t="s">
        <v>182</v>
      </c>
      <c r="BG276" s="221"/>
      <c r="BH276" s="222"/>
      <c r="BI276" s="116"/>
      <c r="BJ276" s="175" t="s">
        <v>190</v>
      </c>
      <c r="BK276" s="116"/>
      <c r="BL276" s="116"/>
      <c r="BM276" s="116"/>
      <c r="BN276" s="116"/>
      <c r="BO276" s="116"/>
      <c r="BP276" s="116"/>
      <c r="BQ276" s="116"/>
      <c r="BR276" s="116"/>
      <c r="BS276" s="116"/>
      <c r="BT276" s="116"/>
      <c r="BU276" s="116"/>
      <c r="BV276" s="116"/>
      <c r="BW276" s="116"/>
      <c r="BX276" s="116"/>
      <c r="BY276" s="116"/>
      <c r="BZ276" s="116"/>
      <c r="CA276" s="116"/>
      <c r="CB276" s="116"/>
      <c r="CC276" s="116"/>
      <c r="CD276" s="116"/>
      <c r="CE276" s="116"/>
      <c r="CF276" s="116"/>
      <c r="CG276" s="116"/>
      <c r="CH276" s="116"/>
      <c r="CI276" s="116"/>
      <c r="CJ276" s="116"/>
      <c r="CK276" s="116"/>
      <c r="CL276" s="116"/>
      <c r="CM276" s="116"/>
      <c r="CN276" s="116"/>
      <c r="CO276" s="116"/>
      <c r="CP276" s="116"/>
      <c r="CQ276" s="116"/>
      <c r="CR276" s="116"/>
      <c r="CS276" s="116"/>
      <c r="CT276" s="116"/>
      <c r="CU276" s="116"/>
      <c r="CV276" s="116"/>
      <c r="CW276" s="116"/>
      <c r="CX276" s="116"/>
      <c r="CY276" s="116"/>
      <c r="CZ276" s="116"/>
      <c r="DA276" s="116"/>
      <c r="DB276" s="148"/>
    </row>
    <row r="277" spans="1:106" s="117" customFormat="1" ht="12" customHeight="1" x14ac:dyDescent="0.25">
      <c r="A277" s="285" t="s">
        <v>30</v>
      </c>
      <c r="B277" s="286"/>
      <c r="C277" s="286"/>
      <c r="D277" s="286"/>
      <c r="E277" s="286"/>
      <c r="F277" s="286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286"/>
      <c r="V277" s="286"/>
      <c r="W277" s="287"/>
      <c r="X277" s="273" t="s">
        <v>201</v>
      </c>
      <c r="Y277" s="274"/>
      <c r="Z277" s="274"/>
      <c r="AA277" s="46" t="s">
        <v>28</v>
      </c>
      <c r="AB277" s="206">
        <v>1.05</v>
      </c>
      <c r="AC277" s="206"/>
      <c r="AD277" s="206"/>
      <c r="AE277" s="288" t="s">
        <v>203</v>
      </c>
      <c r="AF277" s="288"/>
      <c r="AG277" s="127" t="s">
        <v>28</v>
      </c>
      <c r="AH277" s="207">
        <f>D280</f>
        <v>3310</v>
      </c>
      <c r="AI277" s="207"/>
      <c r="AJ277" s="207"/>
      <c r="AK277" s="282" t="s">
        <v>208</v>
      </c>
      <c r="AL277" s="282"/>
      <c r="AM277" s="46" t="s">
        <v>28</v>
      </c>
      <c r="AN277" s="217" t="str">
        <f>CONCATENATE("1 + (",AB277," - 1) x ",AH277," / ",D280)</f>
        <v>1 + (1,05 - 1) x 3310 / 3310</v>
      </c>
      <c r="AO277" s="217"/>
      <c r="AP277" s="217"/>
      <c r="AQ277" s="217"/>
      <c r="AR277" s="217"/>
      <c r="AS277" s="217"/>
      <c r="AT277" s="217"/>
      <c r="AU277" s="217"/>
      <c r="AV277" s="217"/>
      <c r="AW277" s="217"/>
      <c r="AX277" s="217"/>
      <c r="AY277" s="217"/>
      <c r="AZ277" s="139" t="s">
        <v>28</v>
      </c>
      <c r="BA277" s="289">
        <f>ROUND(1 + (AB277 - 1) *(AH277 / D280),2)</f>
        <v>1.05</v>
      </c>
      <c r="BB277" s="290"/>
      <c r="BC277" s="290"/>
      <c r="BD277" s="290"/>
      <c r="BE277" s="290"/>
      <c r="BF277" s="129"/>
      <c r="BG277" s="129"/>
      <c r="BH277" s="130"/>
      <c r="BI277" s="116"/>
      <c r="BJ277" s="116"/>
      <c r="BK277" s="116"/>
      <c r="BL277" s="116"/>
      <c r="BP277" s="116"/>
      <c r="BQ277" s="116"/>
      <c r="BR277" s="116"/>
      <c r="BS277" s="116"/>
      <c r="BT277" s="116"/>
      <c r="BU277" s="116"/>
      <c r="BV277" s="116"/>
      <c r="BW277" s="116"/>
      <c r="BX277" s="116"/>
      <c r="BY277" s="116"/>
      <c r="BZ277" s="116"/>
      <c r="CA277" s="116"/>
      <c r="CB277" s="116"/>
      <c r="CC277" s="116"/>
      <c r="CD277" s="116"/>
      <c r="CE277" s="116"/>
      <c r="CF277" s="116"/>
      <c r="CG277" s="116"/>
      <c r="CH277" s="116"/>
      <c r="CI277" s="116"/>
      <c r="CJ277" s="116"/>
      <c r="CK277" s="116"/>
      <c r="CL277" s="116"/>
      <c r="CM277" s="116"/>
      <c r="CN277" s="116"/>
      <c r="CO277" s="116"/>
      <c r="CP277" s="116"/>
      <c r="CQ277" s="116"/>
      <c r="CR277" s="116"/>
      <c r="CS277" s="116"/>
      <c r="CT277" s="116"/>
      <c r="CU277" s="116"/>
      <c r="CV277" s="116"/>
      <c r="CW277" s="116"/>
      <c r="CX277" s="116"/>
      <c r="CY277" s="116"/>
      <c r="CZ277" s="116"/>
      <c r="DA277" s="116"/>
      <c r="DB277" s="148"/>
    </row>
    <row r="278" spans="1:106" s="117" customFormat="1" ht="12" customHeight="1" x14ac:dyDescent="0.25">
      <c r="A278" s="285" t="s">
        <v>204</v>
      </c>
      <c r="B278" s="286"/>
      <c r="C278" s="286"/>
      <c r="D278" s="286"/>
      <c r="E278" s="286"/>
      <c r="F278" s="286"/>
      <c r="G278" s="286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286"/>
      <c r="S278" s="286"/>
      <c r="T278" s="286"/>
      <c r="U278" s="286"/>
      <c r="V278" s="286"/>
      <c r="W278" s="287"/>
      <c r="X278" s="273" t="s">
        <v>202</v>
      </c>
      <c r="Y278" s="274"/>
      <c r="Z278" s="274"/>
      <c r="AA278" s="46" t="s">
        <v>28</v>
      </c>
      <c r="AB278" s="206">
        <v>2.19</v>
      </c>
      <c r="AC278" s="206"/>
      <c r="AD278" s="206"/>
      <c r="AE278" s="288" t="s">
        <v>203</v>
      </c>
      <c r="AF278" s="288"/>
      <c r="AG278" s="127" t="s">
        <v>28</v>
      </c>
      <c r="AH278" s="207">
        <v>180</v>
      </c>
      <c r="AI278" s="207"/>
      <c r="AJ278" s="207"/>
      <c r="AK278" s="282" t="s">
        <v>208</v>
      </c>
      <c r="AL278" s="282"/>
      <c r="AM278" s="46" t="s">
        <v>28</v>
      </c>
      <c r="AN278" s="217" t="str">
        <f>CONCATENATE("1 + (1 - ",AB278,") x ",AH278," / ",D280)</f>
        <v>1 + (1 - 2,19) x 180 / 3310</v>
      </c>
      <c r="AO278" s="217"/>
      <c r="AP278" s="217"/>
      <c r="AQ278" s="217"/>
      <c r="AR278" s="217"/>
      <c r="AS278" s="217"/>
      <c r="AT278" s="217"/>
      <c r="AU278" s="217"/>
      <c r="AV278" s="217"/>
      <c r="AW278" s="217"/>
      <c r="AX278" s="217"/>
      <c r="AY278" s="217"/>
      <c r="AZ278" s="139" t="s">
        <v>28</v>
      </c>
      <c r="BA278" s="289">
        <f>ROUND(1 + (AB278 - 1) *(AH278 / D280),2)</f>
        <v>1.06</v>
      </c>
      <c r="BB278" s="290"/>
      <c r="BC278" s="290"/>
      <c r="BD278" s="290"/>
      <c r="BE278" s="290"/>
      <c r="BF278" s="129"/>
      <c r="BG278" s="129"/>
      <c r="BH278" s="130"/>
      <c r="BI278" s="116"/>
      <c r="BJ278" s="183">
        <f>(1+(BA277-1)+(BA278-1))</f>
        <v>1.1100000000000001</v>
      </c>
      <c r="BK278" s="116"/>
      <c r="BL278" s="116"/>
      <c r="BP278" s="116"/>
      <c r="BQ278" s="116"/>
      <c r="BR278" s="116"/>
      <c r="BS278" s="116"/>
      <c r="BT278" s="116"/>
      <c r="BU278" s="116"/>
      <c r="BV278" s="116"/>
      <c r="BW278" s="116"/>
      <c r="BX278" s="116"/>
      <c r="BY278" s="116"/>
      <c r="BZ278" s="116"/>
      <c r="CA278" s="116"/>
      <c r="CB278" s="116"/>
      <c r="CC278" s="116"/>
      <c r="CD278" s="116"/>
      <c r="CE278" s="116"/>
      <c r="CF278" s="116"/>
      <c r="CG278" s="116"/>
      <c r="CH278" s="116"/>
      <c r="CI278" s="116"/>
      <c r="CJ278" s="116"/>
      <c r="CK278" s="116"/>
      <c r="CL278" s="116"/>
      <c r="CM278" s="116"/>
      <c r="CN278" s="116"/>
      <c r="CO278" s="116"/>
      <c r="CP278" s="116"/>
      <c r="CQ278" s="116"/>
      <c r="CR278" s="116"/>
      <c r="CS278" s="116"/>
      <c r="CT278" s="116"/>
      <c r="CU278" s="116"/>
      <c r="CV278" s="116"/>
      <c r="CW278" s="116"/>
      <c r="CX278" s="116"/>
      <c r="CY278" s="116"/>
      <c r="CZ278" s="116"/>
      <c r="DA278" s="116"/>
      <c r="DB278" s="148"/>
    </row>
    <row r="279" spans="1:106" s="117" customFormat="1" ht="12" customHeight="1" x14ac:dyDescent="0.2">
      <c r="A279" s="160"/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2"/>
      <c r="X279" s="326" t="s">
        <v>209</v>
      </c>
      <c r="Y279" s="327"/>
      <c r="Z279" s="327"/>
      <c r="AA279" s="123" t="s">
        <v>28</v>
      </c>
      <c r="AB279" s="217" t="str">
        <f>CONCATENATE(BA276," x [1 + (",BA277," - 1) + (",BA278," - 1)] = ",BA276," x ",BJ278," = ")</f>
        <v xml:space="preserve">10,96 x [1 + (1,05 - 1) + (1,06 - 1)] = 10,96 x 1,11 = </v>
      </c>
      <c r="AC279" s="217"/>
      <c r="AD279" s="217"/>
      <c r="AE279" s="217"/>
      <c r="AF279" s="217"/>
      <c r="AG279" s="217"/>
      <c r="AH279" s="217"/>
      <c r="AI279" s="217"/>
      <c r="AJ279" s="217"/>
      <c r="AK279" s="217"/>
      <c r="AL279" s="217"/>
      <c r="AM279" s="217"/>
      <c r="AN279" s="217"/>
      <c r="AO279" s="217"/>
      <c r="AP279" s="217"/>
      <c r="AQ279" s="217"/>
      <c r="AR279" s="217"/>
      <c r="AS279" s="217"/>
      <c r="AT279" s="217"/>
      <c r="AU279" s="217"/>
      <c r="AV279" s="217"/>
      <c r="AW279" s="217"/>
      <c r="AX279" s="217"/>
      <c r="AY279" s="217"/>
      <c r="AZ279" s="218"/>
      <c r="BA279" s="219">
        <f>ROUND(BA276*BJ278,2)</f>
        <v>12.17</v>
      </c>
      <c r="BB279" s="220"/>
      <c r="BC279" s="220"/>
      <c r="BD279" s="220"/>
      <c r="BE279" s="220"/>
      <c r="BF279" s="221" t="s">
        <v>182</v>
      </c>
      <c r="BG279" s="221"/>
      <c r="BH279" s="222"/>
      <c r="BI279" s="116"/>
      <c r="BJ279" s="175"/>
      <c r="BK279" s="116"/>
      <c r="BL279" s="116"/>
      <c r="BM279" s="116"/>
      <c r="BN279" s="116"/>
      <c r="BO279" s="116"/>
      <c r="BP279" s="116"/>
      <c r="BQ279" s="116"/>
      <c r="BR279" s="116"/>
      <c r="BS279" s="116"/>
      <c r="BT279" s="116"/>
      <c r="BU279" s="116"/>
      <c r="BV279" s="116"/>
      <c r="BW279" s="116"/>
      <c r="BX279" s="116"/>
      <c r="BY279" s="116"/>
      <c r="BZ279" s="116"/>
      <c r="CA279" s="116"/>
      <c r="CB279" s="116"/>
      <c r="CC279" s="116"/>
      <c r="CD279" s="116"/>
      <c r="CE279" s="116"/>
      <c r="CF279" s="116"/>
      <c r="CG279" s="116"/>
      <c r="CH279" s="116"/>
      <c r="CI279" s="116"/>
      <c r="CJ279" s="116"/>
      <c r="CK279" s="116"/>
      <c r="CL279" s="116"/>
      <c r="CM279" s="116"/>
      <c r="CN279" s="116"/>
      <c r="CO279" s="116"/>
      <c r="CP279" s="116"/>
      <c r="CQ279" s="116"/>
      <c r="CR279" s="116"/>
      <c r="CS279" s="116"/>
      <c r="CT279" s="116"/>
      <c r="CU279" s="116"/>
      <c r="CV279" s="116"/>
      <c r="CW279" s="116"/>
      <c r="CX279" s="116"/>
      <c r="CY279" s="116"/>
      <c r="CZ279" s="116"/>
      <c r="DA279" s="116"/>
      <c r="DB279" s="148"/>
    </row>
    <row r="280" spans="1:106" s="117" customFormat="1" ht="12" customHeight="1" x14ac:dyDescent="0.25">
      <c r="A280" s="223" t="s">
        <v>189</v>
      </c>
      <c r="B280" s="224"/>
      <c r="C280" s="142" t="s">
        <v>28</v>
      </c>
      <c r="D280" s="312">
        <f>$D$57</f>
        <v>3310</v>
      </c>
      <c r="E280" s="312"/>
      <c r="F280" s="312"/>
      <c r="G280" s="312"/>
      <c r="H280" s="312"/>
      <c r="I280" s="149"/>
      <c r="J280" s="149"/>
      <c r="K280" s="149"/>
      <c r="L280" s="149"/>
      <c r="M280" s="149"/>
      <c r="N280" s="149"/>
      <c r="O280" s="149"/>
      <c r="P280" s="149"/>
      <c r="Q280" s="149"/>
      <c r="R280" s="224"/>
      <c r="S280" s="224"/>
      <c r="T280" s="142"/>
      <c r="U280" s="227"/>
      <c r="V280" s="226"/>
      <c r="W280" s="228"/>
      <c r="X280" s="313" t="s">
        <v>181</v>
      </c>
      <c r="Y280" s="314"/>
      <c r="Z280" s="314"/>
      <c r="AA280" s="126" t="s">
        <v>28</v>
      </c>
      <c r="AB280" s="231" t="str">
        <f>CONCATENATE(BA279," x ",$AO$17," x ", AP273," x [1 + 0,5 x (",AW273," - 1)]  = ")</f>
        <v xml:space="preserve">12,17 x 307,7 x 1,1522 x [1 + 0,5 x (1,0076 - 1)]  = </v>
      </c>
      <c r="AC280" s="231"/>
      <c r="AD280" s="231"/>
      <c r="AE280" s="231"/>
      <c r="AF280" s="231"/>
      <c r="AG280" s="231"/>
      <c r="AH280" s="231"/>
      <c r="AI280" s="231"/>
      <c r="AJ280" s="231"/>
      <c r="AK280" s="231"/>
      <c r="AL280" s="231"/>
      <c r="AM280" s="231"/>
      <c r="AN280" s="231"/>
      <c r="AO280" s="231"/>
      <c r="AP280" s="231"/>
      <c r="AQ280" s="231"/>
      <c r="AR280" s="231"/>
      <c r="AS280" s="231"/>
      <c r="AT280" s="231"/>
      <c r="AU280" s="231"/>
      <c r="AV280" s="231"/>
      <c r="AW280" s="231"/>
      <c r="AX280" s="231"/>
      <c r="AY280" s="231"/>
      <c r="AZ280" s="232"/>
      <c r="BA280" s="233">
        <f>ROUND(BA279*$AO$17*AP273*(1+0.5*(AW273-1)),2)</f>
        <v>4331.05</v>
      </c>
      <c r="BB280" s="234"/>
      <c r="BC280" s="234"/>
      <c r="BD280" s="234"/>
      <c r="BE280" s="234"/>
      <c r="BF280" s="235" t="s">
        <v>23</v>
      </c>
      <c r="BG280" s="235"/>
      <c r="BH280" s="236"/>
      <c r="BI280" s="116"/>
      <c r="BJ280" s="116"/>
      <c r="BK280" s="116"/>
      <c r="BL280" s="116"/>
      <c r="BM280" s="116"/>
      <c r="BN280" s="116"/>
      <c r="BO280" s="116"/>
      <c r="BP280" s="116"/>
      <c r="BQ280" s="116"/>
      <c r="BR280" s="116"/>
      <c r="BS280" s="116"/>
      <c r="BT280" s="116"/>
      <c r="BU280" s="116"/>
      <c r="BV280" s="116"/>
      <c r="BW280" s="116"/>
      <c r="BX280" s="116"/>
      <c r="BY280" s="116"/>
      <c r="BZ280" s="116"/>
      <c r="CA280" s="116"/>
      <c r="CB280" s="116"/>
      <c r="CC280" s="116"/>
      <c r="CD280" s="116"/>
      <c r="CE280" s="116"/>
      <c r="CF280" s="116"/>
      <c r="CG280" s="116"/>
      <c r="CH280" s="116"/>
      <c r="CI280" s="116"/>
      <c r="CJ280" s="116"/>
      <c r="CK280" s="116"/>
      <c r="CL280" s="116"/>
      <c r="CM280" s="116"/>
      <c r="CN280" s="116"/>
      <c r="CO280" s="116"/>
      <c r="CP280" s="116"/>
      <c r="CQ280" s="116"/>
      <c r="CR280" s="116"/>
      <c r="CS280" s="116"/>
      <c r="CT280" s="116"/>
      <c r="CU280" s="116"/>
      <c r="CV280" s="116"/>
      <c r="CW280" s="116"/>
      <c r="CX280" s="116"/>
      <c r="CY280" s="116"/>
      <c r="CZ280" s="116"/>
      <c r="DA280" s="116"/>
      <c r="DB280" s="148"/>
    </row>
    <row r="281" spans="1:106" s="117" customFormat="1" ht="12" customHeight="1" x14ac:dyDescent="0.25">
      <c r="A281" s="237" t="s">
        <v>246</v>
      </c>
      <c r="B281" s="238"/>
      <c r="C281" s="238"/>
      <c r="D281" s="238"/>
      <c r="E281" s="238"/>
      <c r="F281" s="238"/>
      <c r="G281" s="238"/>
      <c r="H281" s="238"/>
      <c r="I281" s="238"/>
      <c r="J281" s="238"/>
      <c r="K281" s="238"/>
      <c r="L281" s="238"/>
      <c r="M281" s="238"/>
      <c r="N281" s="238"/>
      <c r="O281" s="238"/>
      <c r="P281" s="238"/>
      <c r="Q281" s="238"/>
      <c r="R281" s="238"/>
      <c r="S281" s="238"/>
      <c r="T281" s="238"/>
      <c r="U281" s="238"/>
      <c r="V281" s="238"/>
      <c r="W281" s="239"/>
      <c r="X281" s="294" t="s">
        <v>45</v>
      </c>
      <c r="Y281" s="295"/>
      <c r="Z281" s="295"/>
      <c r="AA281" s="295"/>
      <c r="AB281" s="296" t="str">
        <f>график!C39</f>
        <v>янв 2025</v>
      </c>
      <c r="AC281" s="297"/>
      <c r="AD281" s="297"/>
      <c r="AE281" s="297"/>
      <c r="AF281" s="297"/>
      <c r="AG281" s="203" t="s">
        <v>1</v>
      </c>
      <c r="AH281" s="298" t="str">
        <f>график!E39</f>
        <v>янв 2025</v>
      </c>
      <c r="AI281" s="299"/>
      <c r="AJ281" s="299"/>
      <c r="AK281" s="299"/>
      <c r="AL281" s="299"/>
      <c r="AM281" s="300" t="s">
        <v>177</v>
      </c>
      <c r="AN281" s="300"/>
      <c r="AO281" s="204" t="s">
        <v>28</v>
      </c>
      <c r="AP281" s="301">
        <f>график!F39</f>
        <v>1.1521999999999999</v>
      </c>
      <c r="AQ281" s="301"/>
      <c r="AR281" s="301"/>
      <c r="AS281" s="301"/>
      <c r="AT281" s="300" t="s">
        <v>178</v>
      </c>
      <c r="AU281" s="300"/>
      <c r="AV281" s="204" t="s">
        <v>28</v>
      </c>
      <c r="AW281" s="302">
        <f>график!G39</f>
        <v>1.0076000000000001</v>
      </c>
      <c r="AX281" s="302"/>
      <c r="AY281" s="302"/>
      <c r="AZ281" s="303"/>
      <c r="BA281" s="214"/>
      <c r="BB281" s="215"/>
      <c r="BC281" s="215"/>
      <c r="BD281" s="215"/>
      <c r="BE281" s="215"/>
      <c r="BF281" s="215"/>
      <c r="BG281" s="215"/>
      <c r="BH281" s="216"/>
      <c r="BI281" s="116"/>
      <c r="BJ281" s="116"/>
      <c r="BK281" s="116"/>
      <c r="BL281" s="116"/>
      <c r="BM281" s="116"/>
      <c r="BN281" s="116"/>
      <c r="BO281" s="116"/>
      <c r="BP281" s="116"/>
      <c r="BQ281" s="116"/>
      <c r="BR281" s="116"/>
      <c r="BS281" s="116"/>
      <c r="BT281" s="116"/>
      <c r="BU281" s="116"/>
      <c r="BV281" s="116"/>
      <c r="BW281" s="116"/>
      <c r="BX281" s="116"/>
      <c r="BY281" s="116"/>
      <c r="BZ281" s="116"/>
      <c r="CA281" s="116"/>
      <c r="CB281" s="116"/>
      <c r="CC281" s="116"/>
      <c r="CD281" s="116"/>
      <c r="CE281" s="116"/>
      <c r="CF281" s="116"/>
      <c r="CG281" s="116"/>
      <c r="CH281" s="116"/>
      <c r="CI281" s="116"/>
      <c r="CJ281" s="116"/>
      <c r="CK281" s="116"/>
      <c r="CL281" s="116"/>
      <c r="CM281" s="116"/>
      <c r="CN281" s="116"/>
      <c r="CO281" s="116"/>
      <c r="CP281" s="116"/>
      <c r="CQ281" s="116"/>
      <c r="CR281" s="116"/>
      <c r="CS281" s="116"/>
      <c r="CT281" s="116"/>
      <c r="CU281" s="116"/>
      <c r="CV281" s="116"/>
      <c r="CW281" s="116"/>
      <c r="CX281" s="116"/>
      <c r="CY281" s="116"/>
      <c r="CZ281" s="116"/>
      <c r="DA281" s="116"/>
      <c r="DB281" s="148"/>
    </row>
    <row r="282" spans="1:106" s="117" customFormat="1" ht="12" customHeight="1" x14ac:dyDescent="0.2">
      <c r="A282" s="270" t="s">
        <v>245</v>
      </c>
      <c r="B282" s="271"/>
      <c r="C282" s="271"/>
      <c r="D282" s="271"/>
      <c r="E282" s="271"/>
      <c r="F282" s="271"/>
      <c r="G282" s="271"/>
      <c r="H282" s="271"/>
      <c r="I282" s="271"/>
      <c r="J282" s="271"/>
      <c r="K282" s="271"/>
      <c r="L282" s="271"/>
      <c r="M282" s="271"/>
      <c r="N282" s="271"/>
      <c r="O282" s="271"/>
      <c r="P282" s="271"/>
      <c r="Q282" s="271"/>
      <c r="R282" s="271"/>
      <c r="S282" s="271"/>
      <c r="T282" s="271"/>
      <c r="U282" s="271"/>
      <c r="V282" s="271"/>
      <c r="W282" s="272"/>
      <c r="X282" s="273" t="s">
        <v>39</v>
      </c>
      <c r="Y282" s="274"/>
      <c r="Z282" s="274"/>
      <c r="AA282" s="46" t="s">
        <v>28</v>
      </c>
      <c r="AB282" s="217">
        <v>100</v>
      </c>
      <c r="AC282" s="217"/>
      <c r="AD282" s="217"/>
      <c r="AE282" s="217"/>
      <c r="AF282" s="282" t="s">
        <v>40</v>
      </c>
      <c r="AG282" s="274"/>
      <c r="AH282" s="274"/>
      <c r="AI282" s="274"/>
      <c r="AJ282" s="274"/>
      <c r="AK282" s="46" t="s">
        <v>28</v>
      </c>
      <c r="AL282" s="283">
        <v>2.4900000000000002</v>
      </c>
      <c r="AM282" s="284"/>
      <c r="AN282" s="284"/>
      <c r="AO282" s="284"/>
      <c r="AP282" s="284"/>
      <c r="AQ282" s="288"/>
      <c r="AR282" s="288"/>
      <c r="AS282" s="209"/>
      <c r="AT282" s="209"/>
      <c r="AU282" s="209"/>
      <c r="AV282" s="127"/>
      <c r="AW282" s="315"/>
      <c r="AX282" s="217"/>
      <c r="AY282" s="217"/>
      <c r="AZ282" s="218"/>
      <c r="BA282" s="219"/>
      <c r="BB282" s="220"/>
      <c r="BC282" s="220"/>
      <c r="BD282" s="220"/>
      <c r="BE282" s="220"/>
      <c r="BF282" s="221"/>
      <c r="BG282" s="221"/>
      <c r="BH282" s="222"/>
      <c r="BI282" s="116"/>
      <c r="BJ282" s="116"/>
      <c r="BK282" s="116"/>
      <c r="BL282" s="116"/>
      <c r="BM282" s="116"/>
      <c r="BN282" s="116"/>
      <c r="BO282" s="116"/>
      <c r="BP282" s="116"/>
      <c r="BQ282" s="116"/>
      <c r="BR282" s="116"/>
      <c r="BS282" s="116"/>
      <c r="BT282" s="116"/>
      <c r="BU282" s="116"/>
      <c r="BV282" s="116"/>
      <c r="BW282" s="116"/>
      <c r="BX282" s="116"/>
      <c r="BY282" s="116"/>
      <c r="BZ282" s="116"/>
      <c r="CA282" s="116"/>
      <c r="CB282" s="116"/>
      <c r="CC282" s="116"/>
      <c r="CD282" s="116"/>
      <c r="CE282" s="116"/>
      <c r="CF282" s="116"/>
      <c r="CG282" s="116"/>
      <c r="CH282" s="116"/>
      <c r="CI282" s="116"/>
      <c r="CJ282" s="116"/>
      <c r="CK282" s="116"/>
      <c r="CL282" s="116"/>
      <c r="CM282" s="116"/>
      <c r="CN282" s="116"/>
      <c r="CO282" s="116"/>
      <c r="CP282" s="116"/>
      <c r="CQ282" s="116"/>
      <c r="CR282" s="116"/>
      <c r="CS282" s="116"/>
      <c r="CT282" s="116"/>
      <c r="CU282" s="116"/>
      <c r="CV282" s="116"/>
      <c r="CW282" s="116"/>
      <c r="CX282" s="116"/>
      <c r="CY282" s="116"/>
      <c r="CZ282" s="116"/>
      <c r="DA282" s="116"/>
      <c r="DB282" s="148"/>
    </row>
    <row r="283" spans="1:106" s="117" customFormat="1" ht="12" customHeight="1" x14ac:dyDescent="0.2">
      <c r="A283" s="270"/>
      <c r="B283" s="271"/>
      <c r="C283" s="271"/>
      <c r="D283" s="271"/>
      <c r="E283" s="271"/>
      <c r="F283" s="271"/>
      <c r="G283" s="271"/>
      <c r="H283" s="271"/>
      <c r="I283" s="271"/>
      <c r="J283" s="271"/>
      <c r="K283" s="271"/>
      <c r="L283" s="271"/>
      <c r="M283" s="271"/>
      <c r="N283" s="271"/>
      <c r="O283" s="271"/>
      <c r="P283" s="271"/>
      <c r="Q283" s="271"/>
      <c r="R283" s="271"/>
      <c r="S283" s="271"/>
      <c r="T283" s="271"/>
      <c r="U283" s="271"/>
      <c r="V283" s="271"/>
      <c r="W283" s="272"/>
      <c r="X283" s="273" t="s">
        <v>43</v>
      </c>
      <c r="Y283" s="274"/>
      <c r="Z283" s="274"/>
      <c r="AA283" s="46" t="s">
        <v>28</v>
      </c>
      <c r="AB283" s="217">
        <v>300</v>
      </c>
      <c r="AC283" s="217"/>
      <c r="AD283" s="217"/>
      <c r="AE283" s="217"/>
      <c r="AF283" s="282" t="s">
        <v>44</v>
      </c>
      <c r="AG283" s="274"/>
      <c r="AH283" s="274"/>
      <c r="AI283" s="274"/>
      <c r="AJ283" s="274"/>
      <c r="AK283" s="46" t="s">
        <v>28</v>
      </c>
      <c r="AL283" s="283">
        <v>2.76</v>
      </c>
      <c r="AM283" s="284"/>
      <c r="AN283" s="284"/>
      <c r="AO283" s="284"/>
      <c r="AP283" s="284"/>
      <c r="AQ283" s="137"/>
      <c r="AR283" s="137"/>
      <c r="AS283" s="137"/>
      <c r="AT283" s="137"/>
      <c r="AU283" s="137"/>
      <c r="AV283" s="137"/>
      <c r="AW283" s="137"/>
      <c r="AX283" s="137"/>
      <c r="AY283" s="137"/>
      <c r="AZ283" s="166"/>
      <c r="BA283" s="219"/>
      <c r="BB283" s="220"/>
      <c r="BC283" s="220"/>
      <c r="BD283" s="220"/>
      <c r="BE283" s="220"/>
      <c r="BF283" s="221"/>
      <c r="BG283" s="221"/>
      <c r="BH283" s="222"/>
      <c r="BI283" s="116"/>
      <c r="BJ283" s="116"/>
      <c r="BK283" s="116"/>
      <c r="BL283" s="116"/>
      <c r="BM283" s="116"/>
      <c r="BN283" s="116"/>
      <c r="BO283" s="116"/>
      <c r="BP283" s="116"/>
      <c r="BQ283" s="116"/>
      <c r="BR283" s="116"/>
      <c r="BS283" s="116"/>
      <c r="BT283" s="116"/>
      <c r="BU283" s="116"/>
      <c r="BV283" s="116"/>
      <c r="BW283" s="116"/>
      <c r="BX283" s="116"/>
      <c r="BY283" s="116"/>
      <c r="BZ283" s="116"/>
      <c r="CA283" s="116"/>
      <c r="CB283" s="116"/>
      <c r="CC283" s="116"/>
      <c r="CD283" s="116"/>
      <c r="CE283" s="116"/>
      <c r="CF283" s="116"/>
      <c r="CG283" s="116"/>
      <c r="CH283" s="116"/>
      <c r="CI283" s="116"/>
      <c r="CJ283" s="116"/>
      <c r="CK283" s="116"/>
      <c r="CL283" s="116"/>
      <c r="CM283" s="116"/>
      <c r="CN283" s="116"/>
      <c r="CO283" s="116"/>
      <c r="CP283" s="116"/>
      <c r="CQ283" s="116"/>
      <c r="CR283" s="116"/>
      <c r="CS283" s="116"/>
      <c r="CT283" s="116"/>
      <c r="CU283" s="116"/>
      <c r="CV283" s="116"/>
      <c r="CW283" s="116"/>
      <c r="CX283" s="116"/>
      <c r="CY283" s="116"/>
      <c r="CZ283" s="116"/>
      <c r="DA283" s="116"/>
      <c r="DB283" s="148"/>
    </row>
    <row r="284" spans="1:106" s="117" customFormat="1" ht="12" customHeight="1" x14ac:dyDescent="0.2">
      <c r="A284" s="270"/>
      <c r="B284" s="271"/>
      <c r="C284" s="271"/>
      <c r="D284" s="271"/>
      <c r="E284" s="271"/>
      <c r="F284" s="271"/>
      <c r="G284" s="271"/>
      <c r="H284" s="271"/>
      <c r="I284" s="271"/>
      <c r="J284" s="271"/>
      <c r="K284" s="271"/>
      <c r="L284" s="271"/>
      <c r="M284" s="271"/>
      <c r="N284" s="271"/>
      <c r="O284" s="271"/>
      <c r="P284" s="271"/>
      <c r="Q284" s="271"/>
      <c r="R284" s="271"/>
      <c r="S284" s="271"/>
      <c r="T284" s="271"/>
      <c r="U284" s="271"/>
      <c r="V284" s="271"/>
      <c r="W284" s="272"/>
      <c r="X284" s="259" t="s">
        <v>22</v>
      </c>
      <c r="Y284" s="260"/>
      <c r="Z284" s="260"/>
      <c r="AA284" s="123" t="s">
        <v>28</v>
      </c>
      <c r="AB284" s="217" t="str">
        <f>CONCATENATE(AL282," + [(",AL283," - ", AL282,") / (",AB283," - ", AB282,")] x (",D288," - ",AB282,")  = ")</f>
        <v xml:space="preserve">2,49 + [(2,76 - 2,49) / (300 - 100)] x (107 - 100)  = </v>
      </c>
      <c r="AC284" s="217"/>
      <c r="AD284" s="217"/>
      <c r="AE284" s="217"/>
      <c r="AF284" s="217"/>
      <c r="AG284" s="217"/>
      <c r="AH284" s="217"/>
      <c r="AI284" s="217"/>
      <c r="AJ284" s="217"/>
      <c r="AK284" s="217"/>
      <c r="AL284" s="217"/>
      <c r="AM284" s="217"/>
      <c r="AN284" s="217"/>
      <c r="AO284" s="217"/>
      <c r="AP284" s="217"/>
      <c r="AQ284" s="217"/>
      <c r="AR284" s="217"/>
      <c r="AS284" s="217"/>
      <c r="AT284" s="217"/>
      <c r="AU284" s="217"/>
      <c r="AV284" s="217"/>
      <c r="AW284" s="217"/>
      <c r="AX284" s="217"/>
      <c r="AY284" s="217"/>
      <c r="AZ284" s="218"/>
      <c r="BA284" s="219">
        <f>ROUND(AL282 + ((AL283-AL282) / (AB283-AB282)) * (D288-AB282),2)</f>
        <v>2.5</v>
      </c>
      <c r="BB284" s="220"/>
      <c r="BC284" s="220"/>
      <c r="BD284" s="220"/>
      <c r="BE284" s="220"/>
      <c r="BF284" s="221" t="s">
        <v>182</v>
      </c>
      <c r="BG284" s="221"/>
      <c r="BH284" s="222"/>
      <c r="BI284" s="116"/>
      <c r="BJ284" s="175" t="s">
        <v>190</v>
      </c>
      <c r="BK284" s="116"/>
      <c r="BL284" s="116"/>
      <c r="BM284" s="116"/>
      <c r="BN284" s="116"/>
      <c r="BO284" s="116"/>
      <c r="BP284" s="116"/>
      <c r="BQ284" s="116"/>
      <c r="BR284" s="116"/>
      <c r="BS284" s="116"/>
      <c r="BT284" s="116"/>
      <c r="BU284" s="116"/>
      <c r="BV284" s="116"/>
      <c r="BW284" s="116"/>
      <c r="BX284" s="116"/>
      <c r="BY284" s="116"/>
      <c r="BZ284" s="116"/>
      <c r="CA284" s="116"/>
      <c r="CB284" s="116"/>
      <c r="CC284" s="116"/>
      <c r="CD284" s="116"/>
      <c r="CE284" s="116"/>
      <c r="CF284" s="116"/>
      <c r="CG284" s="116"/>
      <c r="CH284" s="116"/>
      <c r="CI284" s="116"/>
      <c r="CJ284" s="116"/>
      <c r="CK284" s="116"/>
      <c r="CL284" s="116"/>
      <c r="CM284" s="116"/>
      <c r="CN284" s="116"/>
      <c r="CO284" s="116"/>
      <c r="CP284" s="116"/>
      <c r="CQ284" s="116"/>
      <c r="CR284" s="116"/>
      <c r="CS284" s="116"/>
      <c r="CT284" s="116"/>
      <c r="CU284" s="116"/>
      <c r="CV284" s="116"/>
      <c r="CW284" s="116"/>
      <c r="CX284" s="116"/>
      <c r="CY284" s="116"/>
      <c r="CZ284" s="116"/>
      <c r="DA284" s="116"/>
      <c r="DB284" s="148"/>
    </row>
    <row r="285" spans="1:106" s="117" customFormat="1" ht="12" customHeight="1" x14ac:dyDescent="0.25">
      <c r="A285" s="285" t="s">
        <v>248</v>
      </c>
      <c r="B285" s="286"/>
      <c r="C285" s="286"/>
      <c r="D285" s="286"/>
      <c r="E285" s="286"/>
      <c r="F285" s="286"/>
      <c r="G285" s="286"/>
      <c r="H285" s="286"/>
      <c r="I285" s="286"/>
      <c r="J285" s="286"/>
      <c r="K285" s="286"/>
      <c r="L285" s="286"/>
      <c r="M285" s="286"/>
      <c r="N285" s="286"/>
      <c r="O285" s="286"/>
      <c r="P285" s="286"/>
      <c r="Q285" s="286"/>
      <c r="R285" s="286"/>
      <c r="S285" s="286"/>
      <c r="T285" s="286"/>
      <c r="U285" s="286"/>
      <c r="V285" s="286"/>
      <c r="W285" s="287"/>
      <c r="X285" s="273" t="s">
        <v>249</v>
      </c>
      <c r="Y285" s="274"/>
      <c r="Z285" s="274"/>
      <c r="AA285" s="46" t="s">
        <v>28</v>
      </c>
      <c r="AB285" s="206">
        <v>1.1000000000000001</v>
      </c>
      <c r="AC285" s="206"/>
      <c r="AD285" s="206"/>
      <c r="AE285" s="288" t="s">
        <v>203</v>
      </c>
      <c r="AF285" s="288"/>
      <c r="AG285" s="127" t="s">
        <v>28</v>
      </c>
      <c r="AH285" s="207">
        <v>60</v>
      </c>
      <c r="AI285" s="207"/>
      <c r="AJ285" s="207"/>
      <c r="AK285" s="282" t="s">
        <v>208</v>
      </c>
      <c r="AL285" s="282"/>
      <c r="AM285" s="46" t="s">
        <v>28</v>
      </c>
      <c r="AN285" s="217" t="str">
        <f>CONCATENATE("1 + (",AB285," - 1) x ",AH285," / ",D288)</f>
        <v>1 + (1,1 - 1) x 60 / 107</v>
      </c>
      <c r="AO285" s="217"/>
      <c r="AP285" s="217"/>
      <c r="AQ285" s="217"/>
      <c r="AR285" s="217"/>
      <c r="AS285" s="217"/>
      <c r="AT285" s="217"/>
      <c r="AU285" s="217"/>
      <c r="AV285" s="217"/>
      <c r="AW285" s="217"/>
      <c r="AX285" s="217"/>
      <c r="AY285" s="217"/>
      <c r="AZ285" s="139" t="s">
        <v>28</v>
      </c>
      <c r="BA285" s="289">
        <f>ROUND(1 + (AB285 - 1) *(AH285 / D288),2)</f>
        <v>1.06</v>
      </c>
      <c r="BB285" s="290"/>
      <c r="BC285" s="290"/>
      <c r="BD285" s="290"/>
      <c r="BE285" s="290"/>
      <c r="BF285" s="129"/>
      <c r="BG285" s="129"/>
      <c r="BH285" s="130"/>
      <c r="BI285" s="116"/>
      <c r="BJ285" s="116"/>
      <c r="BK285" s="116"/>
      <c r="BL285" s="116"/>
      <c r="BP285" s="116"/>
      <c r="BQ285" s="116"/>
      <c r="BR285" s="116"/>
      <c r="BS285" s="116"/>
      <c r="BT285" s="116"/>
      <c r="BU285" s="116"/>
      <c r="BV285" s="116"/>
      <c r="BW285" s="116"/>
      <c r="BX285" s="116"/>
      <c r="BY285" s="116"/>
      <c r="BZ285" s="116"/>
      <c r="CA285" s="116"/>
      <c r="CB285" s="116"/>
      <c r="CC285" s="116"/>
      <c r="CD285" s="116"/>
      <c r="CE285" s="116"/>
      <c r="CF285" s="116"/>
      <c r="CG285" s="116"/>
      <c r="CH285" s="116"/>
      <c r="CI285" s="116"/>
      <c r="CJ285" s="116"/>
      <c r="CK285" s="116"/>
      <c r="CL285" s="116"/>
      <c r="CM285" s="116"/>
      <c r="CN285" s="116"/>
      <c r="CO285" s="116"/>
      <c r="CP285" s="116"/>
      <c r="CQ285" s="116"/>
      <c r="CR285" s="116"/>
      <c r="CS285" s="116"/>
      <c r="CT285" s="116"/>
      <c r="CU285" s="116"/>
      <c r="CV285" s="116"/>
      <c r="CW285" s="116"/>
      <c r="CX285" s="116"/>
      <c r="CY285" s="116"/>
      <c r="CZ285" s="116"/>
      <c r="DA285" s="116"/>
      <c r="DB285" s="148"/>
    </row>
    <row r="286" spans="1:106" s="117" customFormat="1" ht="12" customHeight="1" x14ac:dyDescent="0.25">
      <c r="A286" s="285" t="s">
        <v>247</v>
      </c>
      <c r="B286" s="286"/>
      <c r="C286" s="286"/>
      <c r="D286" s="286"/>
      <c r="E286" s="286"/>
      <c r="F286" s="286"/>
      <c r="G286" s="286"/>
      <c r="H286" s="286"/>
      <c r="I286" s="286"/>
      <c r="J286" s="286"/>
      <c r="K286" s="286"/>
      <c r="L286" s="286"/>
      <c r="M286" s="286"/>
      <c r="N286" s="286"/>
      <c r="O286" s="286"/>
      <c r="P286" s="286"/>
      <c r="Q286" s="286"/>
      <c r="R286" s="286"/>
      <c r="S286" s="286"/>
      <c r="T286" s="286"/>
      <c r="U286" s="286"/>
      <c r="V286" s="286"/>
      <c r="W286" s="287"/>
      <c r="X286" s="273" t="s">
        <v>202</v>
      </c>
      <c r="Y286" s="274"/>
      <c r="Z286" s="274"/>
      <c r="AA286" s="46" t="s">
        <v>28</v>
      </c>
      <c r="AB286" s="206">
        <v>1.2</v>
      </c>
      <c r="AC286" s="206"/>
      <c r="AD286" s="206"/>
      <c r="AE286" s="288" t="s">
        <v>203</v>
      </c>
      <c r="AF286" s="288"/>
      <c r="AG286" s="127" t="s">
        <v>28</v>
      </c>
      <c r="AH286" s="207">
        <v>100</v>
      </c>
      <c r="AI286" s="207"/>
      <c r="AJ286" s="207"/>
      <c r="AK286" s="282" t="s">
        <v>208</v>
      </c>
      <c r="AL286" s="282"/>
      <c r="AM286" s="46" t="s">
        <v>28</v>
      </c>
      <c r="AN286" s="217" t="str">
        <f>CONCATENATE("1 + (1 - ",AB286,") x ",AH286," / ",D288)</f>
        <v>1 + (1 - 1,2) x 100 / 107</v>
      </c>
      <c r="AO286" s="217"/>
      <c r="AP286" s="217"/>
      <c r="AQ286" s="217"/>
      <c r="AR286" s="217"/>
      <c r="AS286" s="217"/>
      <c r="AT286" s="217"/>
      <c r="AU286" s="217"/>
      <c r="AV286" s="217"/>
      <c r="AW286" s="217"/>
      <c r="AX286" s="217"/>
      <c r="AY286" s="217"/>
      <c r="AZ286" s="139" t="s">
        <v>28</v>
      </c>
      <c r="BA286" s="289">
        <f>ROUND(1 + (AB286 - 1) *(AH286 / D288),2)</f>
        <v>1.19</v>
      </c>
      <c r="BB286" s="290"/>
      <c r="BC286" s="290"/>
      <c r="BD286" s="290"/>
      <c r="BE286" s="290"/>
      <c r="BF286" s="129"/>
      <c r="BG286" s="129"/>
      <c r="BH286" s="130"/>
      <c r="BI286" s="116"/>
      <c r="BJ286" s="183">
        <f>(1+(BA285-1)+(BA286-1))</f>
        <v>1.25</v>
      </c>
      <c r="BK286" s="116"/>
      <c r="BL286" s="116"/>
      <c r="BP286" s="116"/>
      <c r="BQ286" s="116"/>
      <c r="BR286" s="116"/>
      <c r="BS286" s="116"/>
      <c r="BT286" s="116"/>
      <c r="BU286" s="116"/>
      <c r="BV286" s="116"/>
      <c r="BW286" s="116"/>
      <c r="BX286" s="116"/>
      <c r="BY286" s="116"/>
      <c r="BZ286" s="116"/>
      <c r="CA286" s="116"/>
      <c r="CB286" s="116"/>
      <c r="CC286" s="116"/>
      <c r="CD286" s="116"/>
      <c r="CE286" s="116"/>
      <c r="CF286" s="116"/>
      <c r="CG286" s="116"/>
      <c r="CH286" s="116"/>
      <c r="CI286" s="116"/>
      <c r="CJ286" s="116"/>
      <c r="CK286" s="116"/>
      <c r="CL286" s="116"/>
      <c r="CM286" s="116"/>
      <c r="CN286" s="116"/>
      <c r="CO286" s="116"/>
      <c r="CP286" s="116"/>
      <c r="CQ286" s="116"/>
      <c r="CR286" s="116"/>
      <c r="CS286" s="116"/>
      <c r="CT286" s="116"/>
      <c r="CU286" s="116"/>
      <c r="CV286" s="116"/>
      <c r="CW286" s="116"/>
      <c r="CX286" s="116"/>
      <c r="CY286" s="116"/>
      <c r="CZ286" s="116"/>
      <c r="DA286" s="116"/>
      <c r="DB286" s="148"/>
    </row>
    <row r="287" spans="1:106" s="117" customFormat="1" ht="12" customHeight="1" x14ac:dyDescent="0.2">
      <c r="A287" s="160"/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2"/>
      <c r="X287" s="259" t="s">
        <v>209</v>
      </c>
      <c r="Y287" s="260"/>
      <c r="Z287" s="260"/>
      <c r="AA287" s="123" t="s">
        <v>28</v>
      </c>
      <c r="AB287" s="217" t="str">
        <f>CONCATENATE(BA284," x [1 + (",BA285," - 1) + (",BA286," - 1)] = ",BA284," x ",BJ286," = ")</f>
        <v xml:space="preserve">2,5 x [1 + (1,06 - 1) + (1,19 - 1)] = 2,5 x 1,25 = </v>
      </c>
      <c r="AC287" s="217"/>
      <c r="AD287" s="217"/>
      <c r="AE287" s="217"/>
      <c r="AF287" s="217"/>
      <c r="AG287" s="217"/>
      <c r="AH287" s="217"/>
      <c r="AI287" s="217"/>
      <c r="AJ287" s="217"/>
      <c r="AK287" s="217"/>
      <c r="AL287" s="217"/>
      <c r="AM287" s="217"/>
      <c r="AN287" s="217"/>
      <c r="AO287" s="217"/>
      <c r="AP287" s="217"/>
      <c r="AQ287" s="217"/>
      <c r="AR287" s="217"/>
      <c r="AS287" s="217"/>
      <c r="AT287" s="217"/>
      <c r="AU287" s="217"/>
      <c r="AV287" s="217"/>
      <c r="AW287" s="217"/>
      <c r="AX287" s="217"/>
      <c r="AY287" s="217"/>
      <c r="AZ287" s="218"/>
      <c r="BA287" s="219">
        <f>ROUND(BA284*BJ286,2)</f>
        <v>3.13</v>
      </c>
      <c r="BB287" s="220"/>
      <c r="BC287" s="220"/>
      <c r="BD287" s="220"/>
      <c r="BE287" s="220"/>
      <c r="BF287" s="221" t="s">
        <v>182</v>
      </c>
      <c r="BG287" s="221"/>
      <c r="BH287" s="222"/>
      <c r="BI287" s="116"/>
      <c r="BJ287" s="175"/>
      <c r="BK287" s="116"/>
      <c r="BL287" s="116"/>
      <c r="BM287" s="116"/>
      <c r="BN287" s="116"/>
      <c r="BO287" s="116"/>
      <c r="BP287" s="116"/>
      <c r="BQ287" s="116"/>
      <c r="BR287" s="116"/>
      <c r="BS287" s="116"/>
      <c r="BT287" s="116"/>
      <c r="BU287" s="116"/>
      <c r="BV287" s="116"/>
      <c r="BW287" s="116"/>
      <c r="BX287" s="116"/>
      <c r="BY287" s="116"/>
      <c r="BZ287" s="116"/>
      <c r="CA287" s="116"/>
      <c r="CB287" s="116"/>
      <c r="CC287" s="116"/>
      <c r="CD287" s="116"/>
      <c r="CE287" s="116"/>
      <c r="CF287" s="116"/>
      <c r="CG287" s="116"/>
      <c r="CH287" s="116"/>
      <c r="CI287" s="116"/>
      <c r="CJ287" s="116"/>
      <c r="CK287" s="116"/>
      <c r="CL287" s="116"/>
      <c r="CM287" s="116"/>
      <c r="CN287" s="116"/>
      <c r="CO287" s="116"/>
      <c r="CP287" s="116"/>
      <c r="CQ287" s="116"/>
      <c r="CR287" s="116"/>
      <c r="CS287" s="116"/>
      <c r="CT287" s="116"/>
      <c r="CU287" s="116"/>
      <c r="CV287" s="116"/>
      <c r="CW287" s="116"/>
      <c r="CX287" s="116"/>
      <c r="CY287" s="116"/>
      <c r="CZ287" s="116"/>
      <c r="DA287" s="116"/>
      <c r="DB287" s="148"/>
    </row>
    <row r="288" spans="1:106" s="117" customFormat="1" ht="12" customHeight="1" x14ac:dyDescent="0.25">
      <c r="A288" s="223" t="s">
        <v>189</v>
      </c>
      <c r="B288" s="224"/>
      <c r="C288" s="142" t="s">
        <v>28</v>
      </c>
      <c r="D288" s="225">
        <v>107</v>
      </c>
      <c r="E288" s="225"/>
      <c r="F288" s="225"/>
      <c r="G288" s="225"/>
      <c r="H288" s="225"/>
      <c r="I288" s="226" t="s">
        <v>254</v>
      </c>
      <c r="J288" s="226"/>
      <c r="K288" s="226"/>
      <c r="L288" s="226"/>
      <c r="M288" s="226"/>
      <c r="N288" s="226"/>
      <c r="O288" s="149"/>
      <c r="P288" s="149"/>
      <c r="Q288" s="149"/>
      <c r="R288" s="224"/>
      <c r="S288" s="224"/>
      <c r="T288" s="142"/>
      <c r="U288" s="227"/>
      <c r="V288" s="226"/>
      <c r="W288" s="228"/>
      <c r="X288" s="229" t="s">
        <v>181</v>
      </c>
      <c r="Y288" s="230"/>
      <c r="Z288" s="230"/>
      <c r="AA288" s="126" t="s">
        <v>28</v>
      </c>
      <c r="AB288" s="231" t="str">
        <f>CONCATENATE(BA287," x ",$AO$17," x ", AP281," x [1 + 0,5 x (",AW281," - 1)]  = ")</f>
        <v xml:space="preserve">3,13 x 307,7 x 1,1522 x [1 + 0,5 x (1,0076 - 1)]  = </v>
      </c>
      <c r="AC288" s="231"/>
      <c r="AD288" s="231"/>
      <c r="AE288" s="231"/>
      <c r="AF288" s="231"/>
      <c r="AG288" s="231"/>
      <c r="AH288" s="231"/>
      <c r="AI288" s="231"/>
      <c r="AJ288" s="231"/>
      <c r="AK288" s="231"/>
      <c r="AL288" s="231"/>
      <c r="AM288" s="231"/>
      <c r="AN288" s="231"/>
      <c r="AO288" s="231"/>
      <c r="AP288" s="231"/>
      <c r="AQ288" s="231"/>
      <c r="AR288" s="231"/>
      <c r="AS288" s="231"/>
      <c r="AT288" s="231"/>
      <c r="AU288" s="231"/>
      <c r="AV288" s="231"/>
      <c r="AW288" s="231"/>
      <c r="AX288" s="231"/>
      <c r="AY288" s="231"/>
      <c r="AZ288" s="232"/>
      <c r="BA288" s="233">
        <f>ROUND(BA287*$AO$17*AP281*(1+0.5*(AW281-1)),2)</f>
        <v>1113.9000000000001</v>
      </c>
      <c r="BB288" s="234"/>
      <c r="BC288" s="234"/>
      <c r="BD288" s="234"/>
      <c r="BE288" s="234"/>
      <c r="BF288" s="235" t="s">
        <v>23</v>
      </c>
      <c r="BG288" s="235"/>
      <c r="BH288" s="236"/>
      <c r="BI288" s="116"/>
      <c r="BJ288" s="116"/>
      <c r="BK288" s="116"/>
      <c r="BL288" s="116"/>
      <c r="BM288" s="116"/>
      <c r="BN288" s="116"/>
      <c r="BO288" s="116"/>
      <c r="BP288" s="116"/>
      <c r="BQ288" s="116"/>
      <c r="BR288" s="116"/>
      <c r="BS288" s="116"/>
      <c r="BT288" s="116"/>
      <c r="BU288" s="116"/>
      <c r="BV288" s="116"/>
      <c r="BW288" s="116"/>
      <c r="BX288" s="116"/>
      <c r="BY288" s="116"/>
      <c r="BZ288" s="116"/>
      <c r="CA288" s="116"/>
      <c r="CB288" s="116"/>
      <c r="CC288" s="116"/>
      <c r="CD288" s="116"/>
      <c r="CE288" s="116"/>
      <c r="CF288" s="116"/>
      <c r="CG288" s="116"/>
      <c r="CH288" s="116"/>
      <c r="CI288" s="116"/>
      <c r="CJ288" s="116"/>
      <c r="CK288" s="116"/>
      <c r="CL288" s="116"/>
      <c r="CM288" s="116"/>
      <c r="CN288" s="116"/>
      <c r="CO288" s="116"/>
      <c r="CP288" s="116"/>
      <c r="CQ288" s="116"/>
      <c r="CR288" s="116"/>
      <c r="CS288" s="116"/>
      <c r="CT288" s="116"/>
      <c r="CU288" s="116"/>
      <c r="CV288" s="116"/>
      <c r="CW288" s="116"/>
      <c r="CX288" s="116"/>
      <c r="CY288" s="116"/>
      <c r="CZ288" s="116"/>
      <c r="DA288" s="116"/>
      <c r="DB288" s="148"/>
    </row>
    <row r="289" spans="1:106" s="117" customFormat="1" ht="12" customHeight="1" x14ac:dyDescent="0.25">
      <c r="A289" s="237" t="s">
        <v>259</v>
      </c>
      <c r="B289" s="238"/>
      <c r="C289" s="238"/>
      <c r="D289" s="238"/>
      <c r="E289" s="238"/>
      <c r="F289" s="238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238"/>
      <c r="W289" s="239"/>
      <c r="X289" s="275" t="s">
        <v>45</v>
      </c>
      <c r="Y289" s="276"/>
      <c r="Z289" s="276"/>
      <c r="AA289" s="276"/>
      <c r="AB289" s="277" t="str">
        <f>график!C39</f>
        <v>янв 2025</v>
      </c>
      <c r="AC289" s="278"/>
      <c r="AD289" s="278"/>
      <c r="AE289" s="278"/>
      <c r="AF289" s="278"/>
      <c r="AG289" s="122" t="s">
        <v>1</v>
      </c>
      <c r="AH289" s="279" t="str">
        <f>график!E39</f>
        <v>янв 2025</v>
      </c>
      <c r="AI289" s="280"/>
      <c r="AJ289" s="280"/>
      <c r="AK289" s="280"/>
      <c r="AL289" s="280"/>
      <c r="AM289" s="211" t="s">
        <v>177</v>
      </c>
      <c r="AN289" s="211"/>
      <c r="AO289" s="120" t="s">
        <v>28</v>
      </c>
      <c r="AP289" s="281">
        <f>график!F39</f>
        <v>1.1521999999999999</v>
      </c>
      <c r="AQ289" s="281"/>
      <c r="AR289" s="281"/>
      <c r="AS289" s="281"/>
      <c r="AT289" s="211" t="s">
        <v>178</v>
      </c>
      <c r="AU289" s="211"/>
      <c r="AV289" s="120" t="s">
        <v>28</v>
      </c>
      <c r="AW289" s="212">
        <f>график!G39</f>
        <v>1.0076000000000001</v>
      </c>
      <c r="AX289" s="212"/>
      <c r="AY289" s="212"/>
      <c r="AZ289" s="213"/>
      <c r="BA289" s="214"/>
      <c r="BB289" s="215"/>
      <c r="BC289" s="215"/>
      <c r="BD289" s="215"/>
      <c r="BE289" s="215"/>
      <c r="BF289" s="215"/>
      <c r="BG289" s="215"/>
      <c r="BH289" s="216"/>
      <c r="BI289" s="116"/>
      <c r="BJ289" s="116"/>
      <c r="BK289" s="116"/>
      <c r="BL289" s="116"/>
      <c r="BM289" s="116"/>
      <c r="BN289" s="116"/>
      <c r="BO289" s="116"/>
      <c r="BP289" s="116"/>
      <c r="BQ289" s="116"/>
      <c r="BR289" s="116"/>
      <c r="BS289" s="116"/>
      <c r="BT289" s="116"/>
      <c r="BU289" s="116"/>
      <c r="BV289" s="116"/>
      <c r="BW289" s="116"/>
      <c r="BX289" s="116"/>
      <c r="BY289" s="116"/>
      <c r="BZ289" s="116"/>
      <c r="CA289" s="116"/>
      <c r="CB289" s="116"/>
      <c r="CC289" s="116"/>
      <c r="CD289" s="116"/>
      <c r="CE289" s="116"/>
      <c r="CF289" s="116"/>
      <c r="CG289" s="116"/>
      <c r="CH289" s="116"/>
      <c r="CI289" s="116"/>
      <c r="CJ289" s="116"/>
      <c r="CK289" s="116"/>
      <c r="CL289" s="116"/>
      <c r="CM289" s="116"/>
      <c r="CN289" s="116"/>
      <c r="CO289" s="116"/>
      <c r="CP289" s="116"/>
      <c r="CQ289" s="116"/>
      <c r="CR289" s="116"/>
      <c r="CS289" s="116"/>
      <c r="CT289" s="116"/>
      <c r="CU289" s="116"/>
      <c r="CV289" s="116"/>
      <c r="CW289" s="116"/>
      <c r="CX289" s="116"/>
      <c r="CY289" s="116"/>
      <c r="CZ289" s="116"/>
      <c r="DA289" s="116"/>
      <c r="DB289" s="148"/>
    </row>
    <row r="290" spans="1:106" s="117" customFormat="1" ht="12" customHeight="1" x14ac:dyDescent="0.2">
      <c r="A290" s="270" t="s">
        <v>251</v>
      </c>
      <c r="B290" s="271"/>
      <c r="C290" s="271"/>
      <c r="D290" s="271"/>
      <c r="E290" s="271"/>
      <c r="F290" s="271"/>
      <c r="G290" s="271"/>
      <c r="H290" s="271"/>
      <c r="I290" s="271"/>
      <c r="J290" s="271"/>
      <c r="K290" s="271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2"/>
      <c r="X290" s="273" t="s">
        <v>39</v>
      </c>
      <c r="Y290" s="274"/>
      <c r="Z290" s="274"/>
      <c r="AA290" s="46" t="s">
        <v>28</v>
      </c>
      <c r="AB290" s="208">
        <v>0.5</v>
      </c>
      <c r="AC290" s="208"/>
      <c r="AD290" s="208"/>
      <c r="AE290" s="208"/>
      <c r="AF290" s="282" t="s">
        <v>40</v>
      </c>
      <c r="AG290" s="274"/>
      <c r="AH290" s="274"/>
      <c r="AI290" s="274"/>
      <c r="AJ290" s="274"/>
      <c r="AK290" s="46" t="s">
        <v>28</v>
      </c>
      <c r="AL290" s="257">
        <v>2.63</v>
      </c>
      <c r="AM290" s="258"/>
      <c r="AN290" s="258"/>
      <c r="AO290" s="258"/>
      <c r="AP290" s="258"/>
      <c r="AQ290" s="288"/>
      <c r="AR290" s="288"/>
      <c r="AS290" s="209"/>
      <c r="AT290" s="209"/>
      <c r="AU290" s="209"/>
      <c r="AV290" s="127"/>
      <c r="AW290" s="315"/>
      <c r="AX290" s="217"/>
      <c r="AY290" s="217"/>
      <c r="AZ290" s="218"/>
      <c r="BA290" s="219"/>
      <c r="BB290" s="220"/>
      <c r="BC290" s="220"/>
      <c r="BD290" s="220"/>
      <c r="BE290" s="220"/>
      <c r="BF290" s="221"/>
      <c r="BG290" s="221"/>
      <c r="BH290" s="222"/>
      <c r="BI290" s="116"/>
      <c r="BJ290" s="116"/>
      <c r="BK290" s="116"/>
      <c r="BL290" s="116"/>
      <c r="BM290" s="116"/>
      <c r="BN290" s="116"/>
      <c r="BO290" s="116"/>
      <c r="BP290" s="116"/>
      <c r="BQ290" s="116"/>
      <c r="BR290" s="116"/>
      <c r="BS290" s="116"/>
      <c r="BT290" s="116"/>
      <c r="BU290" s="116"/>
      <c r="BV290" s="116"/>
      <c r="BW290" s="116"/>
      <c r="BX290" s="116"/>
      <c r="BY290" s="116"/>
      <c r="BZ290" s="116"/>
      <c r="CA290" s="116"/>
      <c r="CB290" s="116"/>
      <c r="CC290" s="116"/>
      <c r="CD290" s="116"/>
      <c r="CE290" s="116"/>
      <c r="CF290" s="116"/>
      <c r="CG290" s="116"/>
      <c r="CH290" s="116"/>
      <c r="CI290" s="116"/>
      <c r="CJ290" s="116"/>
      <c r="CK290" s="116"/>
      <c r="CL290" s="116"/>
      <c r="CM290" s="116"/>
      <c r="CN290" s="116"/>
      <c r="CO290" s="116"/>
      <c r="CP290" s="116"/>
      <c r="CQ290" s="116"/>
      <c r="CR290" s="116"/>
      <c r="CS290" s="116"/>
      <c r="CT290" s="116"/>
      <c r="CU290" s="116"/>
      <c r="CV290" s="116"/>
      <c r="CW290" s="116"/>
      <c r="CX290" s="116"/>
      <c r="CY290" s="116"/>
      <c r="CZ290" s="116"/>
      <c r="DA290" s="116"/>
      <c r="DB290" s="148"/>
    </row>
    <row r="291" spans="1:106" s="117" customFormat="1" ht="12" customHeight="1" x14ac:dyDescent="0.2">
      <c r="A291" s="270"/>
      <c r="B291" s="271"/>
      <c r="C291" s="271"/>
      <c r="D291" s="271"/>
      <c r="E291" s="271"/>
      <c r="F291" s="271"/>
      <c r="G291" s="271"/>
      <c r="H291" s="271"/>
      <c r="I291" s="271"/>
      <c r="J291" s="271"/>
      <c r="K291" s="271"/>
      <c r="L291" s="271"/>
      <c r="M291" s="271"/>
      <c r="N291" s="271"/>
      <c r="O291" s="271"/>
      <c r="P291" s="271"/>
      <c r="Q291" s="271"/>
      <c r="R291" s="271"/>
      <c r="S291" s="271"/>
      <c r="T291" s="271"/>
      <c r="U291" s="271"/>
      <c r="V291" s="271"/>
      <c r="W291" s="272"/>
      <c r="X291" s="273" t="s">
        <v>43</v>
      </c>
      <c r="Y291" s="274"/>
      <c r="Z291" s="274"/>
      <c r="AA291" s="46" t="s">
        <v>28</v>
      </c>
      <c r="AB291" s="217">
        <v>1</v>
      </c>
      <c r="AC291" s="217"/>
      <c r="AD291" s="217"/>
      <c r="AE291" s="217"/>
      <c r="AF291" s="282" t="s">
        <v>44</v>
      </c>
      <c r="AG291" s="274"/>
      <c r="AH291" s="274"/>
      <c r="AI291" s="274"/>
      <c r="AJ291" s="274"/>
      <c r="AK291" s="46" t="s">
        <v>28</v>
      </c>
      <c r="AL291" s="257">
        <v>2.97</v>
      </c>
      <c r="AM291" s="258"/>
      <c r="AN291" s="258"/>
      <c r="AO291" s="258"/>
      <c r="AP291" s="258"/>
      <c r="AQ291" s="137"/>
      <c r="AR291" s="137"/>
      <c r="AS291" s="137"/>
      <c r="AT291" s="137"/>
      <c r="AU291" s="137"/>
      <c r="AV291" s="137"/>
      <c r="AW291" s="137"/>
      <c r="AX291" s="137"/>
      <c r="AY291" s="137"/>
      <c r="AZ291" s="166"/>
      <c r="BA291" s="219"/>
      <c r="BB291" s="220"/>
      <c r="BC291" s="220"/>
      <c r="BD291" s="220"/>
      <c r="BE291" s="220"/>
      <c r="BF291" s="221"/>
      <c r="BG291" s="221"/>
      <c r="BH291" s="222"/>
      <c r="BI291" s="116"/>
      <c r="BJ291" s="116"/>
      <c r="BK291" s="116"/>
      <c r="BL291" s="116"/>
      <c r="BM291" s="116"/>
      <c r="BN291" s="116"/>
      <c r="BO291" s="116"/>
      <c r="BP291" s="116"/>
      <c r="BQ291" s="116"/>
      <c r="BR291" s="116"/>
      <c r="BS291" s="116"/>
      <c r="BT291" s="116"/>
      <c r="BU291" s="116"/>
      <c r="BV291" s="116"/>
      <c r="BW291" s="116"/>
      <c r="BX291" s="116"/>
      <c r="BY291" s="116"/>
      <c r="BZ291" s="116"/>
      <c r="CA291" s="116"/>
      <c r="CB291" s="116"/>
      <c r="CC291" s="116"/>
      <c r="CD291" s="116"/>
      <c r="CE291" s="116"/>
      <c r="CF291" s="116"/>
      <c r="CG291" s="116"/>
      <c r="CH291" s="116"/>
      <c r="CI291" s="116"/>
      <c r="CJ291" s="116"/>
      <c r="CK291" s="116"/>
      <c r="CL291" s="116"/>
      <c r="CM291" s="116"/>
      <c r="CN291" s="116"/>
      <c r="CO291" s="116"/>
      <c r="CP291" s="116"/>
      <c r="CQ291" s="116"/>
      <c r="CR291" s="116"/>
      <c r="CS291" s="116"/>
      <c r="CT291" s="116"/>
      <c r="CU291" s="116"/>
      <c r="CV291" s="116"/>
      <c r="CW291" s="116"/>
      <c r="CX291" s="116"/>
      <c r="CY291" s="116"/>
      <c r="CZ291" s="116"/>
      <c r="DA291" s="116"/>
      <c r="DB291" s="148"/>
    </row>
    <row r="292" spans="1:106" s="117" customFormat="1" ht="12" customHeight="1" x14ac:dyDescent="0.2">
      <c r="A292" s="270"/>
      <c r="B292" s="271"/>
      <c r="C292" s="271"/>
      <c r="D292" s="271"/>
      <c r="E292" s="271"/>
      <c r="F292" s="271"/>
      <c r="G292" s="271"/>
      <c r="H292" s="271"/>
      <c r="I292" s="271"/>
      <c r="J292" s="271"/>
      <c r="K292" s="271"/>
      <c r="L292" s="271"/>
      <c r="M292" s="271"/>
      <c r="N292" s="271"/>
      <c r="O292" s="271"/>
      <c r="P292" s="271"/>
      <c r="Q292" s="271"/>
      <c r="R292" s="271"/>
      <c r="S292" s="271"/>
      <c r="T292" s="271"/>
      <c r="U292" s="271"/>
      <c r="V292" s="271"/>
      <c r="W292" s="272"/>
      <c r="X292" s="259" t="s">
        <v>22</v>
      </c>
      <c r="Y292" s="260"/>
      <c r="Z292" s="260"/>
      <c r="AA292" s="123" t="s">
        <v>28</v>
      </c>
      <c r="AB292" s="217" t="str">
        <f>CONCATENATE(AL290," + [(",AL291," - ", AL290,") / (",AB291," - ", AB290,")] x (",D293," - ",AB290,")  = ")</f>
        <v xml:space="preserve">2,63 + [(2,97 - 2,63) / (1 - 0,5)] x (0,79 - 0,5)  = </v>
      </c>
      <c r="AC292" s="217"/>
      <c r="AD292" s="217"/>
      <c r="AE292" s="217"/>
      <c r="AF292" s="217"/>
      <c r="AG292" s="217"/>
      <c r="AH292" s="217"/>
      <c r="AI292" s="217"/>
      <c r="AJ292" s="217"/>
      <c r="AK292" s="217"/>
      <c r="AL292" s="217"/>
      <c r="AM292" s="217"/>
      <c r="AN292" s="217"/>
      <c r="AO292" s="217"/>
      <c r="AP292" s="217"/>
      <c r="AQ292" s="217"/>
      <c r="AR292" s="217"/>
      <c r="AS292" s="217"/>
      <c r="AT292" s="217"/>
      <c r="AU292" s="217"/>
      <c r="AV292" s="217"/>
      <c r="AW292" s="217"/>
      <c r="AX292" s="217"/>
      <c r="AY292" s="217"/>
      <c r="AZ292" s="218"/>
      <c r="BA292" s="219">
        <f>ROUND(AL290 + ((AL291-AL290) / (AB291-AB290)) * (D293-AB290),2)</f>
        <v>2.83</v>
      </c>
      <c r="BB292" s="220"/>
      <c r="BC292" s="220"/>
      <c r="BD292" s="220"/>
      <c r="BE292" s="220"/>
      <c r="BF292" s="221" t="s">
        <v>182</v>
      </c>
      <c r="BG292" s="221"/>
      <c r="BH292" s="222"/>
      <c r="BI292" s="116"/>
      <c r="BJ292" s="175" t="s">
        <v>190</v>
      </c>
      <c r="BK292" s="116"/>
      <c r="BL292" s="116"/>
      <c r="BM292" s="116"/>
      <c r="BN292" s="116"/>
      <c r="BO292" s="116"/>
      <c r="BP292" s="116"/>
      <c r="BQ292" s="116"/>
      <c r="BR292" s="116"/>
      <c r="BS292" s="116"/>
      <c r="BT292" s="116"/>
      <c r="BU292" s="116"/>
      <c r="BV292" s="116"/>
      <c r="BW292" s="116"/>
      <c r="BX292" s="116"/>
      <c r="BY292" s="116"/>
      <c r="BZ292" s="116"/>
      <c r="CA292" s="116"/>
      <c r="CB292" s="116"/>
      <c r="CC292" s="116"/>
      <c r="CD292" s="116"/>
      <c r="CE292" s="116"/>
      <c r="CF292" s="116"/>
      <c r="CG292" s="116"/>
      <c r="CH292" s="116"/>
      <c r="CI292" s="116"/>
      <c r="CJ292" s="116"/>
      <c r="CK292" s="116"/>
      <c r="CL292" s="116"/>
      <c r="CM292" s="116"/>
      <c r="CN292" s="116"/>
      <c r="CO292" s="116"/>
      <c r="CP292" s="116"/>
      <c r="CQ292" s="116"/>
      <c r="CR292" s="116"/>
      <c r="CS292" s="116"/>
      <c r="CT292" s="116"/>
      <c r="CU292" s="116"/>
      <c r="CV292" s="116"/>
      <c r="CW292" s="116"/>
      <c r="CX292" s="116"/>
      <c r="CY292" s="116"/>
      <c r="CZ292" s="116"/>
      <c r="DA292" s="116"/>
      <c r="DB292" s="148"/>
    </row>
    <row r="293" spans="1:106" s="117" customFormat="1" ht="12" customHeight="1" x14ac:dyDescent="0.25">
      <c r="A293" s="223" t="s">
        <v>189</v>
      </c>
      <c r="B293" s="224"/>
      <c r="C293" s="142" t="s">
        <v>28</v>
      </c>
      <c r="D293" s="261">
        <v>0.79</v>
      </c>
      <c r="E293" s="261"/>
      <c r="F293" s="261"/>
      <c r="G293" s="261"/>
      <c r="H293" s="261"/>
      <c r="I293" s="226" t="s">
        <v>255</v>
      </c>
      <c r="J293" s="226"/>
      <c r="K293" s="226"/>
      <c r="L293" s="226"/>
      <c r="M293" s="226"/>
      <c r="N293" s="226"/>
      <c r="O293" s="149"/>
      <c r="P293" s="149"/>
      <c r="Q293" s="149"/>
      <c r="R293" s="224"/>
      <c r="S293" s="224"/>
      <c r="T293" s="142"/>
      <c r="U293" s="227"/>
      <c r="V293" s="226"/>
      <c r="W293" s="228"/>
      <c r="X293" s="229" t="s">
        <v>181</v>
      </c>
      <c r="Y293" s="230"/>
      <c r="Z293" s="230"/>
      <c r="AA293" s="126" t="s">
        <v>28</v>
      </c>
      <c r="AB293" s="231" t="str">
        <f>CONCATENATE(BA292," x ",$AO$17," x ", AP289," x [1 + 0,5 x (",AW289," - 1)]  = ")</f>
        <v xml:space="preserve">2,83 x 307,7 x 1,1522 x [1 + 0,5 x (1,0076 - 1)]  = </v>
      </c>
      <c r="AC293" s="231"/>
      <c r="AD293" s="231"/>
      <c r="AE293" s="231"/>
      <c r="AF293" s="231"/>
      <c r="AG293" s="231"/>
      <c r="AH293" s="231"/>
      <c r="AI293" s="231"/>
      <c r="AJ293" s="231"/>
      <c r="AK293" s="231"/>
      <c r="AL293" s="231"/>
      <c r="AM293" s="231"/>
      <c r="AN293" s="231"/>
      <c r="AO293" s="231"/>
      <c r="AP293" s="231"/>
      <c r="AQ293" s="231"/>
      <c r="AR293" s="231"/>
      <c r="AS293" s="231"/>
      <c r="AT293" s="231"/>
      <c r="AU293" s="231"/>
      <c r="AV293" s="231"/>
      <c r="AW293" s="231"/>
      <c r="AX293" s="231"/>
      <c r="AY293" s="231"/>
      <c r="AZ293" s="232"/>
      <c r="BA293" s="233">
        <f>ROUND(BA292*$AO$17*AP289*(1+0.5*(AW289-1)),2)</f>
        <v>1007.14</v>
      </c>
      <c r="BB293" s="234"/>
      <c r="BC293" s="234"/>
      <c r="BD293" s="234"/>
      <c r="BE293" s="234"/>
      <c r="BF293" s="235" t="s">
        <v>23</v>
      </c>
      <c r="BG293" s="235"/>
      <c r="BH293" s="236"/>
      <c r="BI293" s="116"/>
      <c r="BJ293" s="116"/>
      <c r="BK293" s="116"/>
      <c r="BL293" s="116"/>
      <c r="BM293" s="116"/>
      <c r="BN293" s="116"/>
      <c r="BO293" s="116"/>
      <c r="BP293" s="116"/>
      <c r="BQ293" s="116"/>
      <c r="BR293" s="116"/>
      <c r="BS293" s="116"/>
      <c r="BT293" s="116"/>
      <c r="BU293" s="116"/>
      <c r="BV293" s="116"/>
      <c r="BW293" s="116"/>
      <c r="BX293" s="116"/>
      <c r="BY293" s="116"/>
      <c r="BZ293" s="116"/>
      <c r="CA293" s="116"/>
      <c r="CB293" s="116"/>
      <c r="CC293" s="116"/>
      <c r="CD293" s="116"/>
      <c r="CE293" s="116"/>
      <c r="CF293" s="116"/>
      <c r="CG293" s="116"/>
      <c r="CH293" s="116"/>
      <c r="CI293" s="116"/>
      <c r="CJ293" s="116"/>
      <c r="CK293" s="116"/>
      <c r="CL293" s="116"/>
      <c r="CM293" s="116"/>
      <c r="CN293" s="116"/>
      <c r="CO293" s="116"/>
      <c r="CP293" s="116"/>
      <c r="CQ293" s="116"/>
      <c r="CR293" s="116"/>
      <c r="CS293" s="116"/>
      <c r="CT293" s="116"/>
      <c r="CU293" s="116"/>
      <c r="CV293" s="116"/>
      <c r="CW293" s="116"/>
      <c r="CX293" s="116"/>
      <c r="CY293" s="116"/>
      <c r="CZ293" s="116"/>
      <c r="DA293" s="116"/>
      <c r="DB293" s="148"/>
    </row>
    <row r="294" spans="1:106" ht="12" customHeight="1" x14ac:dyDescent="0.2">
      <c r="A294" s="132" t="s">
        <v>242</v>
      </c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  <c r="AF294" s="133"/>
      <c r="AG294" s="133"/>
      <c r="AH294" s="133"/>
      <c r="AI294" s="133"/>
      <c r="AJ294" s="133"/>
      <c r="AK294" s="134"/>
      <c r="AL294" s="134"/>
      <c r="AM294" s="134"/>
      <c r="AN294" s="134"/>
      <c r="AO294" s="134"/>
      <c r="AP294" s="134"/>
      <c r="AQ294" s="135"/>
      <c r="AR294" s="136"/>
      <c r="AS294" s="135"/>
      <c r="AT294" s="135"/>
      <c r="AU294" s="135"/>
      <c r="AV294" s="135"/>
      <c r="AW294" s="240" t="s">
        <v>22</v>
      </c>
      <c r="AX294" s="240"/>
      <c r="AY294" s="240"/>
      <c r="AZ294" s="188" t="s">
        <v>28</v>
      </c>
      <c r="BA294" s="241">
        <f>BA279+BA287+BA292</f>
        <v>18.130000000000003</v>
      </c>
      <c r="BB294" s="241"/>
      <c r="BC294" s="241"/>
      <c r="BD294" s="241"/>
      <c r="BE294" s="241"/>
      <c r="BF294" s="189" t="s">
        <v>182</v>
      </c>
      <c r="BG294" s="189"/>
      <c r="BH294" s="190"/>
    </row>
    <row r="295" spans="1:106" s="117" customFormat="1" ht="12" customHeight="1" x14ac:dyDescent="0.2">
      <c r="A295" s="262" t="s">
        <v>179</v>
      </c>
      <c r="B295" s="263"/>
      <c r="C295" s="263"/>
      <c r="D295" s="263"/>
      <c r="E295" s="263"/>
      <c r="F295" s="263"/>
      <c r="G295" s="263"/>
      <c r="H295" s="263"/>
      <c r="I295" s="263"/>
      <c r="J295" s="263"/>
      <c r="K295" s="263"/>
      <c r="L295" s="263"/>
      <c r="M295" s="263"/>
      <c r="N295" s="263"/>
      <c r="O295" s="263"/>
      <c r="P295" s="263"/>
      <c r="Q295" s="263"/>
      <c r="R295" s="263"/>
      <c r="S295" s="263"/>
      <c r="T295" s="263"/>
      <c r="U295" s="263"/>
      <c r="V295" s="263"/>
      <c r="W295" s="263"/>
      <c r="X295" s="140"/>
      <c r="Y295" s="140"/>
      <c r="Z295" s="140"/>
      <c r="AA295" s="140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143"/>
      <c r="AP295" s="143"/>
      <c r="AQ295" s="143"/>
      <c r="AR295" s="143"/>
      <c r="AS295" s="143"/>
      <c r="AT295" s="144"/>
      <c r="AU295" s="144"/>
      <c r="AV295" s="145"/>
      <c r="AW295" s="264" t="s">
        <v>186</v>
      </c>
      <c r="AX295" s="264"/>
      <c r="AY295" s="264"/>
      <c r="AZ295" s="141" t="s">
        <v>28</v>
      </c>
      <c r="BA295" s="265">
        <f>BA280+BA288+BA293</f>
        <v>6452.0900000000011</v>
      </c>
      <c r="BB295" s="265"/>
      <c r="BC295" s="265"/>
      <c r="BD295" s="265"/>
      <c r="BE295" s="265"/>
      <c r="BF295" s="266" t="s">
        <v>23</v>
      </c>
      <c r="BG295" s="266"/>
      <c r="BH295" s="267"/>
      <c r="BI295" s="116"/>
      <c r="BJ295" s="116"/>
      <c r="BK295" s="116"/>
      <c r="BL295" s="116"/>
      <c r="BM295" s="116"/>
      <c r="BN295" s="116"/>
      <c r="BO295" s="116"/>
      <c r="BP295" s="116"/>
      <c r="BQ295" s="116"/>
      <c r="BR295" s="116"/>
      <c r="BS295" s="116"/>
      <c r="BT295" s="116"/>
      <c r="BU295" s="116"/>
      <c r="BV295" s="116"/>
      <c r="BW295" s="116"/>
      <c r="BX295" s="116"/>
      <c r="BY295" s="116"/>
      <c r="BZ295" s="116"/>
      <c r="CA295" s="116"/>
      <c r="CB295" s="116"/>
      <c r="CC295" s="116"/>
      <c r="CD295" s="116"/>
      <c r="CE295" s="116"/>
      <c r="CF295" s="116"/>
      <c r="CG295" s="116"/>
      <c r="CH295" s="116"/>
      <c r="CI295" s="116"/>
      <c r="CJ295" s="116"/>
      <c r="CK295" s="116"/>
      <c r="CL295" s="116"/>
      <c r="CM295" s="116"/>
      <c r="CN295" s="116"/>
      <c r="CO295" s="116"/>
      <c r="CP295" s="116"/>
      <c r="CQ295" s="116"/>
      <c r="CR295" s="116"/>
      <c r="CS295" s="116"/>
      <c r="CT295" s="116"/>
      <c r="CU295" s="116"/>
      <c r="CV295" s="116"/>
      <c r="CW295" s="116"/>
      <c r="CX295" s="116"/>
      <c r="CY295" s="116"/>
      <c r="CZ295" s="116"/>
      <c r="DA295" s="116"/>
      <c r="DB295" s="148"/>
    </row>
    <row r="296" spans="1:106" s="1" customFormat="1" ht="24" hidden="1" customHeight="1" x14ac:dyDescent="0.2">
      <c r="A296" s="328" t="str">
        <f>график!A40</f>
        <v>11</v>
      </c>
      <c r="B296" s="329"/>
      <c r="C296" s="330" t="str">
        <f>график!B40</f>
        <v>УСЛУГИ ПО ОРГАНИЗАЦИИ СОЗДАНИЯ ОБЪЕКТОВ ДОЛЕВОГО СТРОИТЕЛЬСТВА С ПРИВЛЕЧЕНИЕМ СРЕДСТВ ДОЛЬЩИКОВ (ПРИ ДОЛЕВОМ СТРОИТЕЛЬСТВЕ)</v>
      </c>
      <c r="D296" s="331"/>
      <c r="E296" s="331"/>
      <c r="F296" s="331"/>
      <c r="G296" s="331"/>
      <c r="H296" s="331"/>
      <c r="I296" s="331"/>
      <c r="J296" s="331"/>
      <c r="K296" s="331"/>
      <c r="L296" s="331"/>
      <c r="M296" s="331"/>
      <c r="N296" s="331"/>
      <c r="O296" s="331"/>
      <c r="P296" s="331"/>
      <c r="Q296" s="331"/>
      <c r="R296" s="331"/>
      <c r="S296" s="331"/>
      <c r="T296" s="331"/>
      <c r="U296" s="331"/>
      <c r="V296" s="331"/>
      <c r="W296" s="331"/>
      <c r="X296" s="331"/>
      <c r="Y296" s="331"/>
      <c r="Z296" s="331"/>
      <c r="AA296" s="331"/>
      <c r="AB296" s="331"/>
      <c r="AC296" s="331"/>
      <c r="AD296" s="331"/>
      <c r="AE296" s="331"/>
      <c r="AF296" s="331"/>
      <c r="AG296" s="331"/>
      <c r="AH296" s="331"/>
      <c r="AI296" s="331"/>
      <c r="AJ296" s="331"/>
      <c r="AK296" s="331"/>
      <c r="AL296" s="331"/>
      <c r="AM296" s="331"/>
      <c r="AN296" s="331"/>
      <c r="AO296" s="331"/>
      <c r="AP296" s="331"/>
      <c r="AQ296" s="331"/>
      <c r="AR296" s="331"/>
      <c r="AS296" s="331"/>
      <c r="AT296" s="331"/>
      <c r="AU296" s="331"/>
      <c r="AV296" s="331"/>
      <c r="AW296" s="331"/>
      <c r="AX296" s="331"/>
      <c r="AY296" s="331"/>
      <c r="AZ296" s="331"/>
      <c r="BA296" s="331"/>
      <c r="BB296" s="331"/>
      <c r="BC296" s="331"/>
      <c r="BD296" s="331"/>
      <c r="BE296" s="331"/>
      <c r="BF296" s="331"/>
      <c r="BG296" s="331"/>
      <c r="BH296" s="332"/>
      <c r="BI296" s="116"/>
    </row>
    <row r="297" spans="1:106" s="119" customFormat="1" ht="12" hidden="1" customHeight="1" x14ac:dyDescent="0.2">
      <c r="A297" s="307" t="str">
        <f>график!A41</f>
        <v>11.1</v>
      </c>
      <c r="B297" s="308"/>
      <c r="C297" s="309" t="str">
        <f>график!B41</f>
        <v>организация создания объектов долевого строительства с привлечением средств дольщиков</v>
      </c>
      <c r="D297" s="309"/>
      <c r="E297" s="309"/>
      <c r="F297" s="309"/>
      <c r="G297" s="309"/>
      <c r="H297" s="309"/>
      <c r="I297" s="309"/>
      <c r="J297" s="309"/>
      <c r="K297" s="309"/>
      <c r="L297" s="309"/>
      <c r="M297" s="309"/>
      <c r="N297" s="309"/>
      <c r="O297" s="309"/>
      <c r="P297" s="309"/>
      <c r="Q297" s="309"/>
      <c r="R297" s="309"/>
      <c r="S297" s="309"/>
      <c r="T297" s="309"/>
      <c r="U297" s="309"/>
      <c r="V297" s="309"/>
      <c r="W297" s="309"/>
      <c r="X297" s="309"/>
      <c r="Y297" s="309"/>
      <c r="Z297" s="309"/>
      <c r="AA297" s="309"/>
      <c r="AB297" s="309"/>
      <c r="AC297" s="309"/>
      <c r="AD297" s="309"/>
      <c r="AE297" s="309"/>
      <c r="AF297" s="309"/>
      <c r="AG297" s="309"/>
      <c r="AH297" s="309"/>
      <c r="AI297" s="309"/>
      <c r="AJ297" s="309"/>
      <c r="AK297" s="309"/>
      <c r="AL297" s="309"/>
      <c r="AM297" s="309"/>
      <c r="AN297" s="309"/>
      <c r="AO297" s="309"/>
      <c r="AP297" s="309"/>
      <c r="AQ297" s="309"/>
      <c r="AR297" s="309"/>
      <c r="AS297" s="309"/>
      <c r="AT297" s="309"/>
      <c r="AU297" s="309"/>
      <c r="AV297" s="309"/>
      <c r="AW297" s="309"/>
      <c r="AX297" s="309"/>
      <c r="AY297" s="309"/>
      <c r="AZ297" s="309"/>
      <c r="BA297" s="310" t="s">
        <v>264</v>
      </c>
      <c r="BB297" s="310"/>
      <c r="BC297" s="310"/>
      <c r="BD297" s="310"/>
      <c r="BE297" s="310"/>
      <c r="BF297" s="310"/>
      <c r="BG297" s="310"/>
      <c r="BH297" s="311"/>
      <c r="BI297" s="146"/>
      <c r="BJ297" s="146"/>
      <c r="BK297" s="146"/>
      <c r="BL297" s="146"/>
      <c r="BM297" s="146"/>
      <c r="BN297" s="146"/>
      <c r="BO297" s="146"/>
      <c r="BP297" s="146"/>
      <c r="BQ297" s="146"/>
      <c r="BR297" s="146"/>
      <c r="BS297" s="146"/>
      <c r="BT297" s="146"/>
      <c r="BU297" s="146"/>
      <c r="BV297" s="146"/>
      <c r="BW297" s="146"/>
      <c r="BX297" s="146"/>
      <c r="BY297" s="146"/>
      <c r="BZ297" s="146"/>
      <c r="CA297" s="146"/>
      <c r="CB297" s="146"/>
      <c r="CC297" s="146"/>
      <c r="CD297" s="146"/>
      <c r="CE297" s="146"/>
      <c r="CF297" s="146"/>
      <c r="CG297" s="146"/>
      <c r="CH297" s="146"/>
      <c r="CI297" s="146"/>
      <c r="CJ297" s="146"/>
      <c r="CK297" s="146"/>
      <c r="CL297" s="146"/>
      <c r="CM297" s="146"/>
      <c r="CN297" s="146"/>
      <c r="CO297" s="146"/>
      <c r="CP297" s="146"/>
      <c r="CQ297" s="146"/>
      <c r="CR297" s="146"/>
      <c r="CS297" s="146"/>
      <c r="CT297" s="146"/>
      <c r="CU297" s="146"/>
      <c r="CV297" s="146"/>
      <c r="CW297" s="146"/>
      <c r="CX297" s="146"/>
      <c r="CY297" s="146"/>
      <c r="CZ297" s="146"/>
      <c r="DA297" s="146"/>
      <c r="DB297" s="147"/>
    </row>
    <row r="298" spans="1:106" s="117" customFormat="1" ht="12" hidden="1" customHeight="1" x14ac:dyDescent="0.2">
      <c r="A298" s="237" t="s">
        <v>272</v>
      </c>
      <c r="B298" s="238"/>
      <c r="C298" s="238"/>
      <c r="D298" s="238"/>
      <c r="E298" s="238"/>
      <c r="F298" s="238"/>
      <c r="G298" s="238"/>
      <c r="H298" s="238"/>
      <c r="I298" s="238"/>
      <c r="J298" s="238"/>
      <c r="K298" s="238"/>
      <c r="L298" s="238"/>
      <c r="M298" s="238"/>
      <c r="N298" s="238"/>
      <c r="O298" s="238"/>
      <c r="P298" s="238"/>
      <c r="Q298" s="238"/>
      <c r="R298" s="238"/>
      <c r="S298" s="238"/>
      <c r="T298" s="238"/>
      <c r="U298" s="238"/>
      <c r="V298" s="238"/>
      <c r="W298" s="239"/>
      <c r="X298" s="242" t="s">
        <v>275</v>
      </c>
      <c r="Y298" s="243"/>
      <c r="Z298" s="243"/>
      <c r="AA298" s="243"/>
      <c r="AB298" s="243"/>
      <c r="AC298" s="243"/>
      <c r="AD298" s="243"/>
      <c r="AE298" s="243"/>
      <c r="AF298" s="243"/>
      <c r="AG298" s="243"/>
      <c r="AH298" s="243"/>
      <c r="AI298" s="243"/>
      <c r="AJ298" s="243"/>
      <c r="AK298" s="243"/>
      <c r="AL298" s="243"/>
      <c r="AM298" s="120" t="s">
        <v>28</v>
      </c>
      <c r="AN298" s="244">
        <f>BA270+BA245+BA220+BA164+BA113+BA88</f>
        <v>156553.56</v>
      </c>
      <c r="AO298" s="245"/>
      <c r="AP298" s="245"/>
      <c r="AQ298" s="245"/>
      <c r="AR298" s="245"/>
      <c r="AS298" s="245"/>
      <c r="AT298" s="211"/>
      <c r="AU298" s="211"/>
      <c r="AV298" s="120"/>
      <c r="AW298" s="212"/>
      <c r="AX298" s="212"/>
      <c r="AY298" s="212"/>
      <c r="AZ298" s="213"/>
      <c r="BA298" s="214"/>
      <c r="BB298" s="215"/>
      <c r="BC298" s="215"/>
      <c r="BD298" s="215"/>
      <c r="BE298" s="215"/>
      <c r="BF298" s="215"/>
      <c r="BG298" s="215"/>
      <c r="BH298" s="216"/>
      <c r="BI298" s="116"/>
      <c r="BJ298" s="116"/>
      <c r="BK298" s="116"/>
      <c r="BL298" s="116"/>
      <c r="BM298" s="116"/>
      <c r="BN298" s="116"/>
      <c r="BO298" s="116"/>
      <c r="BP298" s="116"/>
      <c r="BQ298" s="116"/>
      <c r="BR298" s="116"/>
      <c r="BS298" s="116"/>
      <c r="BT298" s="116"/>
      <c r="BU298" s="116"/>
      <c r="BV298" s="116"/>
      <c r="BW298" s="116"/>
      <c r="BX298" s="116"/>
      <c r="BY298" s="116"/>
      <c r="BZ298" s="116"/>
      <c r="CA298" s="116"/>
      <c r="CB298" s="116"/>
      <c r="CC298" s="116"/>
      <c r="CD298" s="116"/>
      <c r="CE298" s="116"/>
      <c r="CF298" s="116"/>
      <c r="CG298" s="116"/>
      <c r="CH298" s="116"/>
      <c r="CI298" s="116"/>
      <c r="CJ298" s="116"/>
      <c r="CK298" s="116"/>
      <c r="CL298" s="116"/>
      <c r="CM298" s="116"/>
      <c r="CN298" s="116"/>
      <c r="CO298" s="116"/>
      <c r="CP298" s="116"/>
      <c r="CQ298" s="116"/>
      <c r="CR298" s="116"/>
      <c r="CS298" s="116"/>
      <c r="CT298" s="116"/>
      <c r="CU298" s="116"/>
      <c r="CV298" s="116"/>
      <c r="CW298" s="116"/>
      <c r="CX298" s="116"/>
      <c r="CY298" s="116"/>
      <c r="CZ298" s="116"/>
      <c r="DA298" s="116"/>
      <c r="DB298" s="148"/>
    </row>
    <row r="299" spans="1:106" s="117" customFormat="1" ht="12" hidden="1" customHeight="1" x14ac:dyDescent="0.2">
      <c r="A299" s="337"/>
      <c r="B299" s="338"/>
      <c r="C299" s="338"/>
      <c r="D299" s="338"/>
      <c r="E299" s="338"/>
      <c r="F299" s="338"/>
      <c r="G299" s="338"/>
      <c r="H299" s="338"/>
      <c r="I299" s="338"/>
      <c r="J299" s="338"/>
      <c r="K299" s="338"/>
      <c r="L299" s="338"/>
      <c r="M299" s="338"/>
      <c r="N299" s="338"/>
      <c r="O299" s="338"/>
      <c r="P299" s="338"/>
      <c r="Q299" s="338"/>
      <c r="R299" s="338"/>
      <c r="S299" s="338"/>
      <c r="T299" s="338"/>
      <c r="U299" s="338"/>
      <c r="V299" s="338"/>
      <c r="W299" s="339"/>
      <c r="X299" s="259" t="s">
        <v>276</v>
      </c>
      <c r="Y299" s="260"/>
      <c r="Z299" s="260"/>
      <c r="AA299" s="123" t="s">
        <v>28</v>
      </c>
      <c r="AB299" s="453">
        <v>0.8</v>
      </c>
      <c r="AC299" s="342"/>
      <c r="AD299" s="342"/>
      <c r="AE299" s="342"/>
      <c r="AF299" s="342"/>
      <c r="AG299" s="342"/>
      <c r="AH299" s="342"/>
      <c r="AI299" s="342"/>
      <c r="AJ299" s="342"/>
      <c r="AK299" s="342"/>
      <c r="AL299" s="342"/>
      <c r="AM299" s="342"/>
      <c r="AN299" s="342"/>
      <c r="AO299" s="342"/>
      <c r="AP299" s="342"/>
      <c r="AQ299" s="342"/>
      <c r="AR299" s="342"/>
      <c r="AS299" s="342"/>
      <c r="AT299" s="288"/>
      <c r="AU299" s="288"/>
      <c r="AV299" s="127"/>
      <c r="AW299" s="217"/>
      <c r="AX299" s="217"/>
      <c r="AY299" s="217"/>
      <c r="AZ299" s="218"/>
      <c r="BA299" s="219"/>
      <c r="BB299" s="220"/>
      <c r="BC299" s="220"/>
      <c r="BD299" s="220"/>
      <c r="BE299" s="220"/>
      <c r="BF299" s="221"/>
      <c r="BG299" s="221"/>
      <c r="BH299" s="222"/>
      <c r="BI299" s="116"/>
      <c r="BJ299" s="116"/>
      <c r="BK299" s="116"/>
      <c r="BL299" s="116"/>
      <c r="BM299" s="116"/>
      <c r="BN299" s="116"/>
      <c r="BO299" s="116"/>
      <c r="BP299" s="116"/>
      <c r="BQ299" s="116"/>
      <c r="BR299" s="116"/>
      <c r="BS299" s="116"/>
      <c r="BT299" s="116"/>
      <c r="BU299" s="116"/>
      <c r="BV299" s="116"/>
      <c r="BW299" s="116"/>
      <c r="BX299" s="116"/>
      <c r="BY299" s="116"/>
      <c r="BZ299" s="116"/>
      <c r="CA299" s="116"/>
      <c r="CB299" s="116"/>
      <c r="CC299" s="116"/>
      <c r="CD299" s="116"/>
      <c r="CE299" s="116"/>
      <c r="CF299" s="116"/>
      <c r="CG299" s="116"/>
      <c r="CH299" s="116"/>
      <c r="CI299" s="116"/>
      <c r="CJ299" s="116"/>
      <c r="CK299" s="116"/>
      <c r="CL299" s="116"/>
      <c r="CM299" s="116"/>
      <c r="CN299" s="116"/>
      <c r="CO299" s="116"/>
      <c r="CP299" s="116"/>
      <c r="CQ299" s="116"/>
      <c r="CR299" s="116"/>
      <c r="CS299" s="116"/>
      <c r="CT299" s="116"/>
      <c r="CU299" s="116"/>
      <c r="CV299" s="116"/>
      <c r="CW299" s="116"/>
      <c r="CX299" s="116"/>
      <c r="CY299" s="116"/>
      <c r="CZ299" s="116"/>
      <c r="DA299" s="116"/>
      <c r="DB299" s="148"/>
    </row>
    <row r="300" spans="1:106" s="117" customFormat="1" ht="12" hidden="1" customHeight="1" x14ac:dyDescent="0.2">
      <c r="A300" s="345"/>
      <c r="B300" s="346"/>
      <c r="C300" s="346"/>
      <c r="D300" s="346"/>
      <c r="E300" s="346"/>
      <c r="F300" s="346"/>
      <c r="G300" s="346"/>
      <c r="H300" s="346"/>
      <c r="I300" s="346"/>
      <c r="J300" s="346"/>
      <c r="K300" s="346"/>
      <c r="L300" s="346"/>
      <c r="M300" s="346"/>
      <c r="N300" s="346"/>
      <c r="O300" s="346"/>
      <c r="P300" s="346"/>
      <c r="Q300" s="346"/>
      <c r="R300" s="346"/>
      <c r="S300" s="346"/>
      <c r="T300" s="346"/>
      <c r="U300" s="346"/>
      <c r="V300" s="346"/>
      <c r="W300" s="347"/>
      <c r="X300" s="229" t="s">
        <v>181</v>
      </c>
      <c r="Y300" s="230"/>
      <c r="Z300" s="230"/>
      <c r="AA300" s="126" t="s">
        <v>28</v>
      </c>
      <c r="AB300" s="231" t="str">
        <f>CONCATENATE(AN298," x ",AB299," = ")</f>
        <v xml:space="preserve">156553,56 x 0,8 = </v>
      </c>
      <c r="AC300" s="231"/>
      <c r="AD300" s="231"/>
      <c r="AE300" s="231"/>
      <c r="AF300" s="231"/>
      <c r="AG300" s="231"/>
      <c r="AH300" s="231"/>
      <c r="AI300" s="231"/>
      <c r="AJ300" s="231"/>
      <c r="AK300" s="231"/>
      <c r="AL300" s="231"/>
      <c r="AM300" s="231"/>
      <c r="AN300" s="231"/>
      <c r="AO300" s="231"/>
      <c r="AP300" s="231"/>
      <c r="AQ300" s="231"/>
      <c r="AR300" s="231"/>
      <c r="AS300" s="231"/>
      <c r="AT300" s="231"/>
      <c r="AU300" s="231"/>
      <c r="AV300" s="231"/>
      <c r="AW300" s="231"/>
      <c r="AX300" s="231"/>
      <c r="AY300" s="231"/>
      <c r="AZ300" s="232"/>
      <c r="BA300" s="233">
        <f>ROUND(AN298*AB299,2)</f>
        <v>125242.85</v>
      </c>
      <c r="BB300" s="234"/>
      <c r="BC300" s="234"/>
      <c r="BD300" s="234"/>
      <c r="BE300" s="234"/>
      <c r="BF300" s="235" t="s">
        <v>23</v>
      </c>
      <c r="BG300" s="235"/>
      <c r="BH300" s="236"/>
      <c r="BI300" s="116"/>
      <c r="BJ300" s="116"/>
      <c r="BK300" s="116"/>
      <c r="BL300" s="116"/>
      <c r="BM300" s="116"/>
      <c r="BN300" s="116"/>
      <c r="BO300" s="116"/>
      <c r="BP300" s="116"/>
      <c r="BQ300" s="116"/>
      <c r="BR300" s="116"/>
      <c r="BS300" s="116"/>
      <c r="BT300" s="116"/>
      <c r="BU300" s="116"/>
      <c r="BV300" s="116"/>
      <c r="BW300" s="116"/>
      <c r="BX300" s="116"/>
      <c r="BY300" s="116"/>
      <c r="BZ300" s="116"/>
      <c r="CA300" s="116"/>
      <c r="CB300" s="116"/>
      <c r="CC300" s="116"/>
      <c r="CD300" s="116"/>
      <c r="CE300" s="116"/>
      <c r="CF300" s="116"/>
      <c r="CG300" s="116"/>
      <c r="CH300" s="116"/>
      <c r="CI300" s="116"/>
      <c r="CJ300" s="116"/>
      <c r="CK300" s="116"/>
      <c r="CL300" s="116"/>
      <c r="CM300" s="116"/>
      <c r="CN300" s="116"/>
      <c r="CO300" s="116"/>
      <c r="CP300" s="116"/>
      <c r="CQ300" s="116"/>
      <c r="CR300" s="116"/>
      <c r="CS300" s="116"/>
      <c r="CT300" s="116"/>
      <c r="CU300" s="116"/>
      <c r="CV300" s="116"/>
      <c r="CW300" s="116"/>
      <c r="CX300" s="116"/>
      <c r="CY300" s="116"/>
      <c r="CZ300" s="116"/>
      <c r="DA300" s="116"/>
      <c r="DB300" s="148"/>
    </row>
    <row r="301" spans="1:106" ht="12" hidden="1" customHeight="1" x14ac:dyDescent="0.2">
      <c r="A301" s="132" t="s">
        <v>274</v>
      </c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  <c r="AF301" s="133"/>
      <c r="AG301" s="133"/>
      <c r="AH301" s="133"/>
      <c r="AI301" s="133"/>
      <c r="AJ301" s="133"/>
      <c r="AK301" s="134"/>
      <c r="AL301" s="134"/>
      <c r="AM301" s="134"/>
      <c r="AN301" s="134"/>
      <c r="AO301" s="134"/>
      <c r="AP301" s="134"/>
      <c r="AQ301" s="135"/>
      <c r="AR301" s="136"/>
      <c r="AS301" s="135"/>
      <c r="AT301" s="135"/>
      <c r="AU301" s="135"/>
      <c r="AV301" s="135"/>
      <c r="AW301" s="240"/>
      <c r="AX301" s="240"/>
      <c r="AY301" s="240"/>
      <c r="AZ301" s="188"/>
      <c r="BA301" s="241"/>
      <c r="BB301" s="241"/>
      <c r="BC301" s="241"/>
      <c r="BD301" s="241"/>
      <c r="BE301" s="241"/>
      <c r="BF301" s="189"/>
      <c r="BG301" s="189"/>
      <c r="BH301" s="190"/>
    </row>
    <row r="302" spans="1:106" s="117" customFormat="1" ht="12" hidden="1" customHeight="1" x14ac:dyDescent="0.2">
      <c r="A302" s="262" t="s">
        <v>179</v>
      </c>
      <c r="B302" s="263"/>
      <c r="C302" s="263"/>
      <c r="D302" s="263"/>
      <c r="E302" s="263"/>
      <c r="F302" s="263"/>
      <c r="G302" s="263"/>
      <c r="H302" s="263"/>
      <c r="I302" s="263"/>
      <c r="J302" s="263"/>
      <c r="K302" s="263"/>
      <c r="L302" s="263"/>
      <c r="M302" s="263"/>
      <c r="N302" s="263"/>
      <c r="O302" s="263"/>
      <c r="P302" s="263"/>
      <c r="Q302" s="263"/>
      <c r="R302" s="263"/>
      <c r="S302" s="263"/>
      <c r="T302" s="263"/>
      <c r="U302" s="263"/>
      <c r="V302" s="263"/>
      <c r="W302" s="263"/>
      <c r="X302" s="140"/>
      <c r="Y302" s="140"/>
      <c r="Z302" s="140"/>
      <c r="AA302" s="140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143"/>
      <c r="AP302" s="143"/>
      <c r="AQ302" s="143"/>
      <c r="AR302" s="143"/>
      <c r="AS302" s="143"/>
      <c r="AT302" s="144"/>
      <c r="AU302" s="144"/>
      <c r="AV302" s="145"/>
      <c r="AW302" s="264" t="s">
        <v>186</v>
      </c>
      <c r="AX302" s="264"/>
      <c r="AY302" s="264"/>
      <c r="AZ302" s="141" t="s">
        <v>28</v>
      </c>
      <c r="BA302" s="265">
        <f>BA300</f>
        <v>125242.85</v>
      </c>
      <c r="BB302" s="265"/>
      <c r="BC302" s="265"/>
      <c r="BD302" s="265"/>
      <c r="BE302" s="265"/>
      <c r="BF302" s="266" t="s">
        <v>23</v>
      </c>
      <c r="BG302" s="266"/>
      <c r="BH302" s="267"/>
      <c r="BI302" s="116"/>
      <c r="BJ302" s="116"/>
      <c r="BK302" s="116"/>
      <c r="BL302" s="116"/>
      <c r="BM302" s="116"/>
      <c r="BN302" s="116"/>
      <c r="BO302" s="116"/>
      <c r="BP302" s="116"/>
      <c r="BQ302" s="116"/>
      <c r="BR302" s="116"/>
      <c r="BS302" s="116"/>
      <c r="BT302" s="116"/>
      <c r="BU302" s="116"/>
      <c r="BV302" s="116"/>
      <c r="BW302" s="116"/>
      <c r="BX302" s="116"/>
      <c r="BY302" s="116"/>
      <c r="BZ302" s="116"/>
      <c r="CA302" s="116"/>
      <c r="CB302" s="116"/>
      <c r="CC302" s="116"/>
      <c r="CD302" s="116"/>
      <c r="CE302" s="116"/>
      <c r="CF302" s="116"/>
      <c r="CG302" s="116"/>
      <c r="CH302" s="116"/>
      <c r="CI302" s="116"/>
      <c r="CJ302" s="116"/>
      <c r="CK302" s="116"/>
      <c r="CL302" s="116"/>
      <c r="CM302" s="116"/>
      <c r="CN302" s="116"/>
      <c r="CO302" s="116"/>
      <c r="CP302" s="116"/>
      <c r="CQ302" s="116"/>
      <c r="CR302" s="116"/>
      <c r="CS302" s="116"/>
      <c r="CT302" s="116"/>
      <c r="CU302" s="116"/>
      <c r="CV302" s="116"/>
      <c r="CW302" s="116"/>
      <c r="CX302" s="116"/>
      <c r="CY302" s="116"/>
      <c r="CZ302" s="116"/>
      <c r="DA302" s="116"/>
      <c r="DB302" s="148"/>
    </row>
    <row r="303" spans="1:106" s="118" customFormat="1" ht="12" customHeight="1" x14ac:dyDescent="0.2">
      <c r="A303" s="246" t="s">
        <v>273</v>
      </c>
      <c r="B303" s="247"/>
      <c r="C303" s="247"/>
      <c r="D303" s="247"/>
      <c r="E303" s="247"/>
      <c r="F303" s="247"/>
      <c r="G303" s="247"/>
      <c r="H303" s="247"/>
      <c r="I303" s="247"/>
      <c r="J303" s="247"/>
      <c r="K303" s="247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7"/>
      <c r="W303" s="247"/>
      <c r="X303" s="247"/>
      <c r="Y303" s="247"/>
      <c r="Z303" s="247"/>
      <c r="AA303" s="247"/>
      <c r="AB303" s="247"/>
      <c r="AC303" s="247"/>
      <c r="AD303" s="247"/>
      <c r="AE303" s="247"/>
      <c r="AF303" s="247"/>
      <c r="AG303" s="247"/>
      <c r="AH303" s="247"/>
      <c r="AI303" s="247"/>
      <c r="AJ303" s="193"/>
      <c r="AK303" s="248" t="s">
        <v>22</v>
      </c>
      <c r="AL303" s="248"/>
      <c r="AM303" s="248"/>
      <c r="AN303" s="194" t="s">
        <v>28</v>
      </c>
      <c r="AO303" s="249">
        <f>BA301+BA294+BA269+BA244+BA219+BA194+BA163+BA112+BA87+BA76+BA49</f>
        <v>550.19999999999993</v>
      </c>
      <c r="AP303" s="249"/>
      <c r="AQ303" s="249"/>
      <c r="AR303" s="249"/>
      <c r="AS303" s="249"/>
      <c r="AT303" s="195" t="s">
        <v>182</v>
      </c>
      <c r="AU303" s="195"/>
      <c r="AV303" s="196"/>
      <c r="AW303" s="248" t="s">
        <v>186</v>
      </c>
      <c r="AX303" s="248"/>
      <c r="AY303" s="248"/>
      <c r="AZ303" s="194" t="s">
        <v>28</v>
      </c>
      <c r="BA303" s="249">
        <f>BA295+BA270+BA245+BA220+BA195+BA164+BA113+BA88+BA77+BA50-BA169</f>
        <v>186351.72000000003</v>
      </c>
      <c r="BB303" s="249"/>
      <c r="BC303" s="249"/>
      <c r="BD303" s="249"/>
      <c r="BE303" s="249"/>
      <c r="BF303" s="250" t="s">
        <v>23</v>
      </c>
      <c r="BG303" s="250"/>
      <c r="BH303" s="251"/>
      <c r="BI303" s="116"/>
      <c r="BJ303" s="116"/>
      <c r="BK303" s="252">
        <f>D255*2500</f>
        <v>8275000</v>
      </c>
      <c r="BL303" s="252"/>
      <c r="BM303" s="116"/>
      <c r="BN303" s="116"/>
      <c r="BO303" s="116"/>
      <c r="BP303" s="116"/>
      <c r="BQ303" s="116"/>
      <c r="BR303" s="116"/>
      <c r="BS303" s="116"/>
      <c r="BT303" s="116"/>
      <c r="BU303" s="116"/>
      <c r="BV303" s="116"/>
      <c r="BW303" s="116"/>
      <c r="BX303" s="116"/>
      <c r="BY303" s="116"/>
      <c r="BZ303" s="116"/>
      <c r="CA303" s="116"/>
      <c r="CB303" s="116"/>
      <c r="CC303" s="116"/>
      <c r="CD303" s="116"/>
      <c r="CE303" s="116"/>
      <c r="CF303" s="116"/>
      <c r="CG303" s="116"/>
      <c r="CH303" s="116"/>
      <c r="CI303" s="116"/>
      <c r="CJ303" s="116"/>
      <c r="CK303" s="116"/>
      <c r="CL303" s="116"/>
      <c r="CM303" s="116"/>
      <c r="CN303" s="116"/>
      <c r="CO303" s="116"/>
      <c r="CP303" s="116"/>
      <c r="CQ303" s="116"/>
      <c r="CR303" s="116"/>
      <c r="CS303" s="116"/>
      <c r="CT303" s="116"/>
      <c r="CU303" s="116"/>
      <c r="CV303" s="116"/>
      <c r="CW303" s="116"/>
      <c r="CX303" s="116"/>
      <c r="CY303" s="116"/>
      <c r="CZ303" s="116"/>
      <c r="DA303" s="116"/>
      <c r="DB303" s="148"/>
    </row>
    <row r="304" spans="1:106" s="192" customFormat="1" ht="12" customHeight="1" x14ac:dyDescent="0.2">
      <c r="A304" s="246" t="s">
        <v>266</v>
      </c>
      <c r="B304" s="247"/>
      <c r="C304" s="247"/>
      <c r="D304" s="247"/>
      <c r="E304" s="247"/>
      <c r="F304" s="247"/>
      <c r="G304" s="247"/>
      <c r="H304" s="247"/>
      <c r="I304" s="247"/>
      <c r="J304" s="247"/>
      <c r="K304" s="247"/>
      <c r="L304" s="247"/>
      <c r="M304" s="247"/>
      <c r="N304" s="247"/>
      <c r="O304" s="247"/>
      <c r="P304" s="247"/>
      <c r="Q304" s="247"/>
      <c r="R304" s="247"/>
      <c r="S304" s="247"/>
      <c r="T304" s="247"/>
      <c r="U304" s="247"/>
      <c r="V304" s="247"/>
      <c r="W304" s="247"/>
      <c r="X304" s="247"/>
      <c r="Y304" s="247"/>
      <c r="Z304" s="247"/>
      <c r="AA304" s="247"/>
      <c r="AB304" s="247"/>
      <c r="AC304" s="247"/>
      <c r="AD304" s="247"/>
      <c r="AE304" s="247"/>
      <c r="AF304" s="247"/>
      <c r="AG304" s="247"/>
      <c r="AH304" s="247"/>
      <c r="AI304" s="247"/>
      <c r="AJ304" s="193"/>
      <c r="AK304" s="248" t="s">
        <v>22</v>
      </c>
      <c r="AL304" s="248"/>
      <c r="AM304" s="248"/>
      <c r="AN304" s="194" t="s">
        <v>28</v>
      </c>
      <c r="AO304" s="249">
        <f>BA39</f>
        <v>6.3</v>
      </c>
      <c r="AP304" s="249"/>
      <c r="AQ304" s="249"/>
      <c r="AR304" s="249"/>
      <c r="AS304" s="249"/>
      <c r="AT304" s="195" t="s">
        <v>182</v>
      </c>
      <c r="AU304" s="195"/>
      <c r="AV304" s="196"/>
      <c r="AW304" s="248" t="s">
        <v>186</v>
      </c>
      <c r="AX304" s="248"/>
      <c r="AY304" s="248"/>
      <c r="AZ304" s="194" t="s">
        <v>28</v>
      </c>
      <c r="BA304" s="249">
        <f>BA40</f>
        <v>1988.52</v>
      </c>
      <c r="BB304" s="249"/>
      <c r="BC304" s="249"/>
      <c r="BD304" s="249"/>
      <c r="BE304" s="249"/>
      <c r="BF304" s="250" t="s">
        <v>23</v>
      </c>
      <c r="BG304" s="250"/>
      <c r="BH304" s="251"/>
      <c r="BI304" s="116"/>
      <c r="BJ304" s="116"/>
      <c r="BK304" s="252">
        <f>D255*2500</f>
        <v>8275000</v>
      </c>
      <c r="BL304" s="252"/>
      <c r="BM304" s="116"/>
      <c r="BN304" s="116"/>
      <c r="BO304" s="116"/>
      <c r="BP304" s="116"/>
      <c r="BQ304" s="116"/>
      <c r="BR304" s="116"/>
      <c r="BS304" s="116"/>
      <c r="BT304" s="116"/>
      <c r="BU304" s="116"/>
      <c r="BV304" s="116"/>
      <c r="BW304" s="116"/>
      <c r="BX304" s="116"/>
      <c r="BY304" s="116"/>
      <c r="BZ304" s="116"/>
      <c r="CA304" s="116"/>
      <c r="CB304" s="116"/>
      <c r="CC304" s="116"/>
      <c r="CD304" s="116"/>
      <c r="CE304" s="116"/>
      <c r="CF304" s="116"/>
      <c r="CG304" s="116"/>
      <c r="CH304" s="116"/>
      <c r="CI304" s="116"/>
      <c r="CJ304" s="116"/>
      <c r="CK304" s="116"/>
      <c r="CL304" s="116"/>
      <c r="CM304" s="116"/>
      <c r="CN304" s="116"/>
      <c r="CO304" s="116"/>
      <c r="CP304" s="116"/>
      <c r="CQ304" s="116"/>
      <c r="CR304" s="116"/>
      <c r="CS304" s="116"/>
      <c r="CT304" s="116"/>
      <c r="CU304" s="116"/>
      <c r="CV304" s="116"/>
      <c r="CW304" s="116"/>
      <c r="CX304" s="116"/>
      <c r="CY304" s="116"/>
      <c r="CZ304" s="116"/>
      <c r="DA304" s="116"/>
      <c r="DB304" s="148"/>
    </row>
    <row r="305" spans="1:106" s="192" customFormat="1" ht="12" customHeight="1" x14ac:dyDescent="0.2">
      <c r="A305" s="246" t="s">
        <v>267</v>
      </c>
      <c r="B305" s="247"/>
      <c r="C305" s="247"/>
      <c r="D305" s="247"/>
      <c r="E305" s="247"/>
      <c r="F305" s="247"/>
      <c r="G305" s="247"/>
      <c r="H305" s="247"/>
      <c r="I305" s="247"/>
      <c r="J305" s="247"/>
      <c r="K305" s="247"/>
      <c r="L305" s="247"/>
      <c r="M305" s="247"/>
      <c r="N305" s="247"/>
      <c r="O305" s="247"/>
      <c r="P305" s="247"/>
      <c r="Q305" s="247"/>
      <c r="R305" s="247"/>
      <c r="S305" s="247"/>
      <c r="T305" s="247"/>
      <c r="U305" s="247"/>
      <c r="V305" s="247"/>
      <c r="W305" s="247"/>
      <c r="X305" s="247"/>
      <c r="Y305" s="247"/>
      <c r="Z305" s="247"/>
      <c r="AA305" s="247"/>
      <c r="AB305" s="247"/>
      <c r="AC305" s="247"/>
      <c r="AD305" s="247"/>
      <c r="AE305" s="247"/>
      <c r="AF305" s="247"/>
      <c r="AG305" s="247"/>
      <c r="AH305" s="247"/>
      <c r="AI305" s="247"/>
      <c r="AJ305" s="193"/>
      <c r="AK305" s="248" t="s">
        <v>22</v>
      </c>
      <c r="AL305" s="248"/>
      <c r="AM305" s="248"/>
      <c r="AN305" s="194" t="s">
        <v>28</v>
      </c>
      <c r="AO305" s="249">
        <f>BA76</f>
        <v>23.53</v>
      </c>
      <c r="AP305" s="249"/>
      <c r="AQ305" s="249"/>
      <c r="AR305" s="249"/>
      <c r="AS305" s="249"/>
      <c r="AT305" s="195" t="s">
        <v>182</v>
      </c>
      <c r="AU305" s="195"/>
      <c r="AV305" s="196"/>
      <c r="AW305" s="248" t="s">
        <v>186</v>
      </c>
      <c r="AX305" s="248"/>
      <c r="AY305" s="248"/>
      <c r="AZ305" s="194" t="s">
        <v>28</v>
      </c>
      <c r="BA305" s="249">
        <f>BA77</f>
        <v>7470.92</v>
      </c>
      <c r="BB305" s="249"/>
      <c r="BC305" s="249"/>
      <c r="BD305" s="249"/>
      <c r="BE305" s="249"/>
      <c r="BF305" s="250" t="s">
        <v>23</v>
      </c>
      <c r="BG305" s="250"/>
      <c r="BH305" s="251"/>
      <c r="BI305" s="116"/>
      <c r="BJ305" s="116"/>
      <c r="BK305" s="252">
        <f>D256*2500</f>
        <v>0</v>
      </c>
      <c r="BL305" s="252"/>
      <c r="BM305" s="116"/>
      <c r="BN305" s="116"/>
      <c r="BO305" s="116"/>
      <c r="BP305" s="116"/>
      <c r="BQ305" s="116"/>
      <c r="BR305" s="116"/>
      <c r="BS305" s="116"/>
      <c r="BT305" s="116"/>
      <c r="BU305" s="116"/>
      <c r="BV305" s="116"/>
      <c r="BW305" s="116"/>
      <c r="BX305" s="116"/>
      <c r="BY305" s="116"/>
      <c r="BZ305" s="116"/>
      <c r="CA305" s="116"/>
      <c r="CB305" s="116"/>
      <c r="CC305" s="116"/>
      <c r="CD305" s="116"/>
      <c r="CE305" s="116"/>
      <c r="CF305" s="116"/>
      <c r="CG305" s="116"/>
      <c r="CH305" s="116"/>
      <c r="CI305" s="116"/>
      <c r="CJ305" s="116"/>
      <c r="CK305" s="116"/>
      <c r="CL305" s="116"/>
      <c r="CM305" s="116"/>
      <c r="CN305" s="116"/>
      <c r="CO305" s="116"/>
      <c r="CP305" s="116"/>
      <c r="CQ305" s="116"/>
      <c r="CR305" s="116"/>
      <c r="CS305" s="116"/>
      <c r="CT305" s="116"/>
      <c r="CU305" s="116"/>
      <c r="CV305" s="116"/>
      <c r="CW305" s="116"/>
      <c r="CX305" s="116"/>
      <c r="CY305" s="116"/>
      <c r="CZ305" s="116"/>
      <c r="DA305" s="116"/>
      <c r="DB305" s="148"/>
    </row>
    <row r="306" spans="1:106" s="192" customFormat="1" ht="12" customHeight="1" x14ac:dyDescent="0.2">
      <c r="A306" s="246" t="s">
        <v>269</v>
      </c>
      <c r="B306" s="247"/>
      <c r="C306" s="247"/>
      <c r="D306" s="247"/>
      <c r="E306" s="247"/>
      <c r="F306" s="247"/>
      <c r="G306" s="247"/>
      <c r="H306" s="247"/>
      <c r="I306" s="247"/>
      <c r="J306" s="247"/>
      <c r="K306" s="247"/>
      <c r="L306" s="247"/>
      <c r="M306" s="247"/>
      <c r="N306" s="247"/>
      <c r="O306" s="247"/>
      <c r="P306" s="247"/>
      <c r="Q306" s="247"/>
      <c r="R306" s="247"/>
      <c r="S306" s="247"/>
      <c r="T306" s="247"/>
      <c r="U306" s="247"/>
      <c r="V306" s="247"/>
      <c r="W306" s="247"/>
      <c r="X306" s="247"/>
      <c r="Y306" s="247"/>
      <c r="Z306" s="247"/>
      <c r="AA306" s="247"/>
      <c r="AB306" s="247"/>
      <c r="AC306" s="247"/>
      <c r="AD306" s="247"/>
      <c r="AE306" s="247"/>
      <c r="AF306" s="247"/>
      <c r="AG306" s="247"/>
      <c r="AH306" s="247"/>
      <c r="AI306" s="247"/>
      <c r="AJ306" s="193"/>
      <c r="AK306" s="248" t="s">
        <v>22</v>
      </c>
      <c r="AL306" s="248"/>
      <c r="AM306" s="248"/>
      <c r="AN306" s="194" t="s">
        <v>28</v>
      </c>
      <c r="AO306" s="249">
        <f>BJ174</f>
        <v>12.6</v>
      </c>
      <c r="AP306" s="249"/>
      <c r="AQ306" s="249"/>
      <c r="AR306" s="249"/>
      <c r="AS306" s="249"/>
      <c r="AT306" s="195" t="s">
        <v>182</v>
      </c>
      <c r="AU306" s="195"/>
      <c r="AV306" s="196"/>
      <c r="AW306" s="248" t="s">
        <v>186</v>
      </c>
      <c r="AX306" s="248"/>
      <c r="AY306" s="248"/>
      <c r="AZ306" s="194" t="s">
        <v>28</v>
      </c>
      <c r="BA306" s="249">
        <f>BA175</f>
        <v>4220.22</v>
      </c>
      <c r="BB306" s="249"/>
      <c r="BC306" s="249"/>
      <c r="BD306" s="249"/>
      <c r="BE306" s="249"/>
      <c r="BF306" s="250" t="s">
        <v>23</v>
      </c>
      <c r="BG306" s="250"/>
      <c r="BH306" s="251"/>
      <c r="BI306" s="116"/>
      <c r="BJ306" s="116"/>
      <c r="BK306" s="252">
        <f>D258*2500</f>
        <v>0</v>
      </c>
      <c r="BL306" s="252"/>
      <c r="BM306" s="116"/>
      <c r="BN306" s="116"/>
      <c r="BO306" s="116"/>
      <c r="BP306" s="116"/>
      <c r="BQ306" s="116"/>
      <c r="BR306" s="116"/>
      <c r="BS306" s="116"/>
      <c r="BT306" s="116"/>
      <c r="BU306" s="116"/>
      <c r="BV306" s="116"/>
      <c r="BW306" s="116"/>
      <c r="BX306" s="116"/>
      <c r="BY306" s="116"/>
      <c r="BZ306" s="116"/>
      <c r="CA306" s="116"/>
      <c r="CB306" s="116"/>
      <c r="CC306" s="116"/>
      <c r="CD306" s="116"/>
      <c r="CE306" s="116"/>
      <c r="CF306" s="116"/>
      <c r="CG306" s="116"/>
      <c r="CH306" s="116"/>
      <c r="CI306" s="116"/>
      <c r="CJ306" s="116"/>
      <c r="CK306" s="116"/>
      <c r="CL306" s="116"/>
      <c r="CM306" s="116"/>
      <c r="CN306" s="116"/>
      <c r="CO306" s="116"/>
      <c r="CP306" s="116"/>
      <c r="CQ306" s="116"/>
      <c r="CR306" s="116"/>
      <c r="CS306" s="116"/>
      <c r="CT306" s="116"/>
      <c r="CU306" s="116"/>
      <c r="CV306" s="116"/>
      <c r="CW306" s="116"/>
      <c r="CX306" s="116"/>
      <c r="CY306" s="116"/>
      <c r="CZ306" s="116"/>
      <c r="DA306" s="116"/>
      <c r="DB306" s="148"/>
    </row>
    <row r="307" spans="1:106" s="192" customFormat="1" ht="12" customHeight="1" x14ac:dyDescent="0.2">
      <c r="A307" s="246" t="s">
        <v>270</v>
      </c>
      <c r="B307" s="247"/>
      <c r="C307" s="247"/>
      <c r="D307" s="247"/>
      <c r="E307" s="247"/>
      <c r="F307" s="247"/>
      <c r="G307" s="247"/>
      <c r="H307" s="247"/>
      <c r="I307" s="247"/>
      <c r="J307" s="247"/>
      <c r="K307" s="247"/>
      <c r="L307" s="247"/>
      <c r="M307" s="247"/>
      <c r="N307" s="247"/>
      <c r="O307" s="247"/>
      <c r="P307" s="247"/>
      <c r="Q307" s="247"/>
      <c r="R307" s="247"/>
      <c r="S307" s="247"/>
      <c r="T307" s="247"/>
      <c r="U307" s="247"/>
      <c r="V307" s="247"/>
      <c r="W307" s="247"/>
      <c r="X307" s="247"/>
      <c r="Y307" s="247"/>
      <c r="Z307" s="247"/>
      <c r="AA307" s="247"/>
      <c r="AB307" s="247"/>
      <c r="AC307" s="247"/>
      <c r="AD307" s="247"/>
      <c r="AE307" s="247"/>
      <c r="AF307" s="247"/>
      <c r="AG307" s="247"/>
      <c r="AH307" s="247"/>
      <c r="AI307" s="247"/>
      <c r="AJ307" s="193"/>
      <c r="AK307" s="248" t="s">
        <v>22</v>
      </c>
      <c r="AL307" s="248"/>
      <c r="AM307" s="248"/>
      <c r="AN307" s="194" t="s">
        <v>28</v>
      </c>
      <c r="AO307" s="249">
        <f>BA186</f>
        <v>0</v>
      </c>
      <c r="AP307" s="249"/>
      <c r="AQ307" s="249"/>
      <c r="AR307" s="249"/>
      <c r="AS307" s="249"/>
      <c r="AT307" s="195" t="s">
        <v>182</v>
      </c>
      <c r="AU307" s="195"/>
      <c r="AV307" s="196"/>
      <c r="AW307" s="248" t="s">
        <v>186</v>
      </c>
      <c r="AX307" s="248"/>
      <c r="AY307" s="248"/>
      <c r="AZ307" s="194" t="s">
        <v>28</v>
      </c>
      <c r="BA307" s="249">
        <f>BA187</f>
        <v>0</v>
      </c>
      <c r="BB307" s="249"/>
      <c r="BC307" s="249"/>
      <c r="BD307" s="249"/>
      <c r="BE307" s="249"/>
      <c r="BF307" s="250" t="s">
        <v>23</v>
      </c>
      <c r="BG307" s="250"/>
      <c r="BH307" s="251"/>
      <c r="BI307" s="116"/>
      <c r="BJ307" s="116"/>
      <c r="BK307" s="252">
        <f>D259*2500</f>
        <v>0</v>
      </c>
      <c r="BL307" s="252"/>
      <c r="BM307" s="116"/>
      <c r="BN307" s="116"/>
      <c r="BO307" s="116"/>
      <c r="BP307" s="116"/>
      <c r="BQ307" s="116"/>
      <c r="BR307" s="116"/>
      <c r="BS307" s="116"/>
      <c r="BT307" s="116"/>
      <c r="BU307" s="116"/>
      <c r="BV307" s="116"/>
      <c r="BW307" s="116"/>
      <c r="BX307" s="116"/>
      <c r="BY307" s="116"/>
      <c r="BZ307" s="116"/>
      <c r="CA307" s="116"/>
      <c r="CB307" s="116"/>
      <c r="CC307" s="116"/>
      <c r="CD307" s="116"/>
      <c r="CE307" s="116"/>
      <c r="CF307" s="116"/>
      <c r="CG307" s="116"/>
      <c r="CH307" s="116"/>
      <c r="CI307" s="116"/>
      <c r="CJ307" s="116"/>
      <c r="CK307" s="116"/>
      <c r="CL307" s="116"/>
      <c r="CM307" s="116"/>
      <c r="CN307" s="116"/>
      <c r="CO307" s="116"/>
      <c r="CP307" s="116"/>
      <c r="CQ307" s="116"/>
      <c r="CR307" s="116"/>
      <c r="CS307" s="116"/>
      <c r="CT307" s="116"/>
      <c r="CU307" s="116"/>
      <c r="CV307" s="116"/>
      <c r="CW307" s="116"/>
      <c r="CX307" s="116"/>
      <c r="CY307" s="116"/>
      <c r="CZ307" s="116"/>
      <c r="DA307" s="116"/>
      <c r="DB307" s="148"/>
    </row>
    <row r="308" spans="1:106" s="192" customFormat="1" ht="12" customHeight="1" x14ac:dyDescent="0.2">
      <c r="A308" s="246" t="s">
        <v>271</v>
      </c>
      <c r="B308" s="247"/>
      <c r="C308" s="247"/>
      <c r="D308" s="247"/>
      <c r="E308" s="247"/>
      <c r="F308" s="247"/>
      <c r="G308" s="247"/>
      <c r="H308" s="247"/>
      <c r="I308" s="247"/>
      <c r="J308" s="247"/>
      <c r="K308" s="247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7"/>
      <c r="W308" s="247"/>
      <c r="X308" s="247"/>
      <c r="Y308" s="247"/>
      <c r="Z308" s="247"/>
      <c r="AA308" s="247"/>
      <c r="AB308" s="247"/>
      <c r="AC308" s="247"/>
      <c r="AD308" s="247"/>
      <c r="AE308" s="247"/>
      <c r="AF308" s="247"/>
      <c r="AG308" s="247"/>
      <c r="AH308" s="247"/>
      <c r="AI308" s="247"/>
      <c r="AJ308" s="193"/>
      <c r="AK308" s="248" t="s">
        <v>22</v>
      </c>
      <c r="AL308" s="248"/>
      <c r="AM308" s="248"/>
      <c r="AN308" s="194" t="s">
        <v>28</v>
      </c>
      <c r="AO308" s="249">
        <f>BJ192</f>
        <v>5</v>
      </c>
      <c r="AP308" s="249"/>
      <c r="AQ308" s="249"/>
      <c r="AR308" s="249"/>
      <c r="AS308" s="249"/>
      <c r="AT308" s="195" t="s">
        <v>182</v>
      </c>
      <c r="AU308" s="195"/>
      <c r="AV308" s="196"/>
      <c r="AW308" s="248" t="s">
        <v>186</v>
      </c>
      <c r="AX308" s="248"/>
      <c r="AY308" s="248"/>
      <c r="AZ308" s="194" t="s">
        <v>28</v>
      </c>
      <c r="BA308" s="249">
        <f>BA193</f>
        <v>1752.74</v>
      </c>
      <c r="BB308" s="249"/>
      <c r="BC308" s="249"/>
      <c r="BD308" s="249"/>
      <c r="BE308" s="249"/>
      <c r="BF308" s="250" t="s">
        <v>23</v>
      </c>
      <c r="BG308" s="250"/>
      <c r="BH308" s="251"/>
      <c r="BI308" s="116"/>
      <c r="BJ308" s="116"/>
      <c r="BK308" s="252">
        <f>D260*2500</f>
        <v>0</v>
      </c>
      <c r="BL308" s="252"/>
      <c r="BM308" s="116"/>
      <c r="BN308" s="116"/>
      <c r="BO308" s="116"/>
      <c r="BP308" s="116"/>
      <c r="BQ308" s="116"/>
      <c r="BR308" s="116"/>
      <c r="BS308" s="116"/>
      <c r="BT308" s="116"/>
      <c r="BU308" s="116"/>
      <c r="BV308" s="116"/>
      <c r="BW308" s="116"/>
      <c r="BX308" s="116"/>
      <c r="BY308" s="116"/>
      <c r="BZ308" s="116"/>
      <c r="CA308" s="116"/>
      <c r="CB308" s="116"/>
      <c r="CC308" s="116"/>
      <c r="CD308" s="116"/>
      <c r="CE308" s="116"/>
      <c r="CF308" s="116"/>
      <c r="CG308" s="116"/>
      <c r="CH308" s="116"/>
      <c r="CI308" s="116"/>
      <c r="CJ308" s="116"/>
      <c r="CK308" s="116"/>
      <c r="CL308" s="116"/>
      <c r="CM308" s="116"/>
      <c r="CN308" s="116"/>
      <c r="CO308" s="116"/>
      <c r="CP308" s="116"/>
      <c r="CQ308" s="116"/>
      <c r="CR308" s="116"/>
      <c r="CS308" s="116"/>
      <c r="CT308" s="116"/>
      <c r="CU308" s="116"/>
      <c r="CV308" s="116"/>
      <c r="CW308" s="116"/>
      <c r="CX308" s="116"/>
      <c r="CY308" s="116"/>
      <c r="CZ308" s="116"/>
      <c r="DA308" s="116"/>
      <c r="DB308" s="148"/>
    </row>
    <row r="309" spans="1:106" s="192" customFormat="1" ht="12" customHeight="1" x14ac:dyDescent="0.2">
      <c r="A309" s="255" t="s">
        <v>268</v>
      </c>
      <c r="B309" s="256"/>
      <c r="C309" s="256"/>
      <c r="D309" s="256"/>
      <c r="E309" s="256"/>
      <c r="F309" s="256"/>
      <c r="G309" s="256"/>
      <c r="H309" s="256"/>
      <c r="I309" s="256"/>
      <c r="J309" s="256"/>
      <c r="K309" s="256"/>
      <c r="L309" s="256"/>
      <c r="M309" s="256"/>
      <c r="N309" s="256"/>
      <c r="O309" s="256"/>
      <c r="P309" s="256"/>
      <c r="Q309" s="256"/>
      <c r="R309" s="256"/>
      <c r="S309" s="256"/>
      <c r="T309" s="256"/>
      <c r="U309" s="256"/>
      <c r="V309" s="256"/>
      <c r="W309" s="256"/>
      <c r="X309" s="256"/>
      <c r="Y309" s="256"/>
      <c r="Z309" s="256"/>
      <c r="AA309" s="256"/>
      <c r="AB309" s="256"/>
      <c r="AC309" s="256"/>
      <c r="AD309" s="256"/>
      <c r="AE309" s="256"/>
      <c r="AF309" s="256"/>
      <c r="AG309" s="256"/>
      <c r="AH309" s="256"/>
      <c r="AI309" s="256"/>
      <c r="AJ309" s="197"/>
      <c r="AK309" s="253" t="s">
        <v>22</v>
      </c>
      <c r="AL309" s="253"/>
      <c r="AM309" s="253"/>
      <c r="AN309" s="198" t="s">
        <v>28</v>
      </c>
      <c r="AO309" s="254">
        <f>AO303-AO304-AO305-AO306-AO307-AO308</f>
        <v>502.77</v>
      </c>
      <c r="AP309" s="254"/>
      <c r="AQ309" s="254"/>
      <c r="AR309" s="254"/>
      <c r="AS309" s="254"/>
      <c r="AT309" s="199" t="s">
        <v>182</v>
      </c>
      <c r="AU309" s="199"/>
      <c r="AV309" s="200"/>
      <c r="AW309" s="253" t="s">
        <v>186</v>
      </c>
      <c r="AX309" s="253"/>
      <c r="AY309" s="253"/>
      <c r="AZ309" s="198" t="s">
        <v>28</v>
      </c>
      <c r="BA309" s="254">
        <f>BA303-BA304-BA305-BA306-BA307-BA308</f>
        <v>170919.32000000004</v>
      </c>
      <c r="BB309" s="254"/>
      <c r="BC309" s="254"/>
      <c r="BD309" s="254"/>
      <c r="BE309" s="254"/>
      <c r="BF309" s="268" t="s">
        <v>23</v>
      </c>
      <c r="BG309" s="268"/>
      <c r="BH309" s="269"/>
      <c r="BI309" s="116"/>
      <c r="BJ309" s="116"/>
      <c r="BK309" s="252">
        <f>D257*2500</f>
        <v>0</v>
      </c>
      <c r="BL309" s="252"/>
      <c r="BM309" s="116"/>
      <c r="BN309" s="116"/>
      <c r="BO309" s="116"/>
      <c r="BP309" s="116"/>
      <c r="BQ309" s="116"/>
      <c r="BR309" s="116"/>
      <c r="BS309" s="116"/>
      <c r="BT309" s="116"/>
      <c r="BU309" s="116"/>
      <c r="BV309" s="116"/>
      <c r="BW309" s="116"/>
      <c r="BX309" s="116"/>
      <c r="BY309" s="116"/>
      <c r="BZ309" s="116"/>
      <c r="CA309" s="116"/>
      <c r="CB309" s="116"/>
      <c r="CC309" s="116"/>
      <c r="CD309" s="116"/>
      <c r="CE309" s="116"/>
      <c r="CF309" s="116"/>
      <c r="CG309" s="116"/>
      <c r="CH309" s="116"/>
      <c r="CI309" s="116"/>
      <c r="CJ309" s="116"/>
      <c r="CK309" s="116"/>
      <c r="CL309" s="116"/>
      <c r="CM309" s="116"/>
      <c r="CN309" s="116"/>
      <c r="CO309" s="116"/>
      <c r="CP309" s="116"/>
      <c r="CQ309" s="116"/>
      <c r="CR309" s="116"/>
      <c r="CS309" s="116"/>
      <c r="CT309" s="116"/>
      <c r="CU309" s="116"/>
      <c r="CV309" s="116"/>
      <c r="CW309" s="116"/>
      <c r="CX309" s="116"/>
      <c r="CY309" s="116"/>
      <c r="CZ309" s="116"/>
      <c r="DA309" s="116"/>
      <c r="DB309" s="148"/>
    </row>
    <row r="310" spans="1:106" s="116" customFormat="1" ht="12" customHeight="1" x14ac:dyDescent="0.2">
      <c r="A310" s="181"/>
      <c r="B310" s="131"/>
      <c r="C310" s="127"/>
      <c r="D310" s="163"/>
      <c r="E310" s="163"/>
      <c r="F310" s="163"/>
      <c r="G310" s="163"/>
      <c r="H310" s="163"/>
      <c r="I310" s="121"/>
      <c r="J310" s="121"/>
      <c r="K310" s="121"/>
      <c r="L310" s="121"/>
      <c r="M310" s="121"/>
      <c r="N310" s="121"/>
      <c r="O310" s="121"/>
      <c r="P310" s="121"/>
      <c r="Q310" s="121"/>
      <c r="R310" s="131"/>
      <c r="S310" s="131"/>
      <c r="T310" s="127"/>
      <c r="U310" s="164"/>
      <c r="V310" s="165"/>
      <c r="W310" s="165"/>
      <c r="X310" s="124"/>
      <c r="Y310" s="124"/>
      <c r="Z310" s="124"/>
      <c r="AA310" s="123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8"/>
      <c r="BB310" s="128"/>
      <c r="BC310" s="128"/>
      <c r="BD310" s="128"/>
      <c r="BE310" s="128"/>
      <c r="BF310" s="129"/>
      <c r="BG310" s="129"/>
      <c r="BH310" s="205"/>
    </row>
    <row r="311" spans="1:106" ht="12" hidden="1" customHeight="1" x14ac:dyDescent="0.2">
      <c r="A311" s="2" t="s">
        <v>261</v>
      </c>
      <c r="BI311" s="3"/>
    </row>
    <row r="312" spans="1:106" ht="30" hidden="1" customHeight="1" x14ac:dyDescent="0.2">
      <c r="A312" s="448" t="s">
        <v>31</v>
      </c>
      <c r="B312" s="448"/>
      <c r="C312" s="448"/>
      <c r="D312" s="448"/>
      <c r="E312" s="449" t="s">
        <v>78</v>
      </c>
      <c r="F312" s="449"/>
      <c r="G312" s="449"/>
      <c r="H312" s="449"/>
      <c r="I312" s="449"/>
      <c r="J312" s="449"/>
      <c r="K312" s="449"/>
      <c r="L312" s="449"/>
      <c r="M312" s="449"/>
      <c r="N312" s="449"/>
      <c r="O312" s="449"/>
      <c r="P312" s="449"/>
      <c r="Q312" s="449"/>
      <c r="R312" s="449"/>
      <c r="S312" s="449"/>
      <c r="T312" s="449"/>
      <c r="U312" s="449"/>
      <c r="V312" s="449"/>
      <c r="W312" s="449"/>
      <c r="X312" s="449"/>
      <c r="Y312" s="449"/>
      <c r="Z312" s="449"/>
      <c r="AA312" s="449"/>
      <c r="AB312" s="449"/>
      <c r="AC312" s="449"/>
      <c r="AD312" s="449" t="s">
        <v>34</v>
      </c>
      <c r="AE312" s="449"/>
      <c r="AF312" s="449"/>
      <c r="AG312" s="449"/>
      <c r="AH312" s="449"/>
      <c r="AI312" s="449"/>
      <c r="AJ312" s="449"/>
      <c r="AK312" s="449"/>
      <c r="AL312" s="449"/>
      <c r="AM312" s="449"/>
      <c r="AN312" s="449"/>
      <c r="AO312" s="449"/>
      <c r="AP312" s="449"/>
      <c r="AQ312" s="450" t="s">
        <v>35</v>
      </c>
      <c r="AR312" s="451"/>
      <c r="AS312" s="451"/>
      <c r="AT312" s="451"/>
      <c r="AU312" s="451"/>
      <c r="AV312" s="451"/>
      <c r="AW312" s="451"/>
      <c r="AX312" s="451"/>
      <c r="AY312" s="451"/>
      <c r="AZ312" s="451"/>
      <c r="BA312" s="451"/>
      <c r="BB312" s="452"/>
      <c r="BC312" s="450" t="s">
        <v>46</v>
      </c>
      <c r="BD312" s="451"/>
      <c r="BE312" s="451"/>
      <c r="BF312" s="451"/>
      <c r="BG312" s="451"/>
      <c r="BH312" s="452"/>
      <c r="BI312" s="3"/>
    </row>
    <row r="313" spans="1:106" ht="11.25" hidden="1" x14ac:dyDescent="0.2">
      <c r="A313" s="414" t="s">
        <v>262</v>
      </c>
      <c r="B313" s="415"/>
      <c r="C313" s="415"/>
      <c r="D313" s="416"/>
      <c r="E313" s="430"/>
      <c r="F313" s="431"/>
      <c r="G313" s="431"/>
      <c r="H313" s="431"/>
      <c r="I313" s="431"/>
      <c r="J313" s="431"/>
      <c r="K313" s="431"/>
      <c r="L313" s="431"/>
      <c r="M313" s="431"/>
      <c r="N313" s="431"/>
      <c r="O313" s="431"/>
      <c r="P313" s="431"/>
      <c r="Q313" s="431"/>
      <c r="R313" s="431"/>
      <c r="S313" s="431"/>
      <c r="T313" s="431"/>
      <c r="U313" s="431"/>
      <c r="V313" s="431"/>
      <c r="W313" s="431"/>
      <c r="X313" s="431"/>
      <c r="Y313" s="431"/>
      <c r="Z313" s="431"/>
      <c r="AA313" s="431"/>
      <c r="AB313" s="431"/>
      <c r="AC313" s="432"/>
      <c r="AD313" s="420" t="s">
        <v>37</v>
      </c>
      <c r="AE313" s="415"/>
      <c r="AF313" s="415"/>
      <c r="AG313" s="415"/>
      <c r="AH313" s="415"/>
      <c r="AI313" s="415"/>
      <c r="AJ313" s="415"/>
      <c r="AK313" s="415"/>
      <c r="AL313" s="415"/>
      <c r="AM313" s="415"/>
      <c r="AN313" s="415"/>
      <c r="AO313" s="415"/>
      <c r="AP313" s="416"/>
      <c r="AQ313" s="436">
        <f>BC313/BC315</f>
        <v>0.625</v>
      </c>
      <c r="AR313" s="437"/>
      <c r="AS313" s="437"/>
      <c r="AT313" s="437"/>
      <c r="AU313" s="437"/>
      <c r="AV313" s="437"/>
      <c r="AW313" s="437"/>
      <c r="AX313" s="437"/>
      <c r="AY313" s="437"/>
      <c r="AZ313" s="437"/>
      <c r="BA313" s="437"/>
      <c r="BB313" s="438"/>
      <c r="BC313" s="424" t="s">
        <v>65</v>
      </c>
      <c r="BD313" s="425"/>
      <c r="BE313" s="425"/>
      <c r="BF313" s="425"/>
      <c r="BG313" s="425"/>
      <c r="BH313" s="426"/>
      <c r="BI313" s="3"/>
    </row>
    <row r="314" spans="1:106" ht="12.75" hidden="1" customHeight="1" x14ac:dyDescent="0.2">
      <c r="A314" s="427"/>
      <c r="B314" s="428"/>
      <c r="C314" s="428"/>
      <c r="D314" s="429"/>
      <c r="E314" s="433"/>
      <c r="F314" s="434"/>
      <c r="G314" s="434"/>
      <c r="H314" s="434"/>
      <c r="I314" s="434"/>
      <c r="J314" s="434"/>
      <c r="K314" s="434"/>
      <c r="L314" s="434"/>
      <c r="M314" s="434"/>
      <c r="N314" s="434"/>
      <c r="O314" s="434"/>
      <c r="P314" s="434"/>
      <c r="Q314" s="434"/>
      <c r="R314" s="434"/>
      <c r="S314" s="434"/>
      <c r="T314" s="434"/>
      <c r="U314" s="434"/>
      <c r="V314" s="434"/>
      <c r="W314" s="434"/>
      <c r="X314" s="434"/>
      <c r="Y314" s="434"/>
      <c r="Z314" s="434"/>
      <c r="AA314" s="434"/>
      <c r="AB314" s="434"/>
      <c r="AC314" s="435"/>
      <c r="AD314" s="439" t="s">
        <v>38</v>
      </c>
      <c r="AE314" s="440"/>
      <c r="AF314" s="440"/>
      <c r="AG314" s="440"/>
      <c r="AH314" s="440"/>
      <c r="AI314" s="440"/>
      <c r="AJ314" s="440"/>
      <c r="AK314" s="440"/>
      <c r="AL314" s="440"/>
      <c r="AM314" s="440"/>
      <c r="AN314" s="440"/>
      <c r="AO314" s="440"/>
      <c r="AP314" s="441"/>
      <c r="AQ314" s="442">
        <f>BC314/BC315</f>
        <v>0.375</v>
      </c>
      <c r="AR314" s="443"/>
      <c r="AS314" s="443"/>
      <c r="AT314" s="443"/>
      <c r="AU314" s="443"/>
      <c r="AV314" s="443"/>
      <c r="AW314" s="443"/>
      <c r="AX314" s="443"/>
      <c r="AY314" s="443"/>
      <c r="AZ314" s="443"/>
      <c r="BA314" s="443"/>
      <c r="BB314" s="444"/>
      <c r="BC314" s="445" t="s">
        <v>66</v>
      </c>
      <c r="BD314" s="446"/>
      <c r="BE314" s="446"/>
      <c r="BF314" s="446"/>
      <c r="BG314" s="446"/>
      <c r="BH314" s="447"/>
      <c r="BI314" s="3"/>
    </row>
    <row r="315" spans="1:106" ht="12" hidden="1" customHeight="1" x14ac:dyDescent="0.2">
      <c r="A315" s="15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7"/>
      <c r="Z315" s="17"/>
      <c r="AA315" s="17"/>
      <c r="AB315" s="17"/>
      <c r="AC315" s="18"/>
      <c r="AD315" s="405" t="s">
        <v>36</v>
      </c>
      <c r="AE315" s="406"/>
      <c r="AF315" s="406"/>
      <c r="AG315" s="406"/>
      <c r="AH315" s="406"/>
      <c r="AI315" s="406"/>
      <c r="AJ315" s="406"/>
      <c r="AK315" s="406"/>
      <c r="AL315" s="406"/>
      <c r="AM315" s="406"/>
      <c r="AN315" s="406"/>
      <c r="AO315" s="406"/>
      <c r="AP315" s="406"/>
      <c r="AQ315" s="406"/>
      <c r="AR315" s="406"/>
      <c r="AS315" s="406"/>
      <c r="AT315" s="406"/>
      <c r="AU315" s="407"/>
      <c r="AV315" s="408"/>
      <c r="AW315" s="409"/>
      <c r="AX315" s="409"/>
      <c r="AY315" s="409"/>
      <c r="AZ315" s="409"/>
      <c r="BA315" s="409"/>
      <c r="BB315" s="410"/>
      <c r="BC315" s="411">
        <f>BC313+BC314</f>
        <v>4</v>
      </c>
      <c r="BD315" s="412"/>
      <c r="BE315" s="412"/>
      <c r="BF315" s="412"/>
      <c r="BG315" s="412"/>
      <c r="BH315" s="413"/>
      <c r="BI315" s="3"/>
    </row>
    <row r="316" spans="1:106" ht="12" hidden="1" customHeight="1" x14ac:dyDescent="0.2">
      <c r="A316" s="22"/>
      <c r="B316" s="33"/>
      <c r="C316" s="33"/>
      <c r="D316" s="33"/>
      <c r="E316" s="23"/>
      <c r="F316" s="23"/>
      <c r="G316" s="23"/>
      <c r="H316" s="23"/>
      <c r="I316" s="23"/>
      <c r="J316" s="21"/>
      <c r="K316" s="23"/>
      <c r="L316" s="23"/>
      <c r="M316" s="23"/>
      <c r="N316" s="23"/>
      <c r="O316" s="23"/>
      <c r="P316" s="29"/>
      <c r="Q316" s="29"/>
      <c r="R316" s="29"/>
      <c r="S316" s="30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24"/>
      <c r="AE316" s="25"/>
      <c r="AF316" s="26"/>
      <c r="AG316" s="26"/>
      <c r="AH316" s="26"/>
      <c r="AI316" s="26"/>
      <c r="AJ316" s="26"/>
      <c r="AK316" s="12"/>
      <c r="AL316" s="12"/>
      <c r="AM316" s="34"/>
      <c r="AN316" s="27"/>
      <c r="AO316" s="27"/>
      <c r="AP316" s="27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40"/>
      <c r="BC316" s="28"/>
      <c r="BD316" s="41"/>
      <c r="BE316" s="41"/>
      <c r="BF316" s="41"/>
      <c r="BG316" s="41"/>
      <c r="BH316" s="42"/>
      <c r="BI316" s="3"/>
    </row>
    <row r="317" spans="1:106" ht="48" hidden="1" customHeight="1" x14ac:dyDescent="0.2">
      <c r="A317" s="414" t="s">
        <v>263</v>
      </c>
      <c r="B317" s="415"/>
      <c r="C317" s="415"/>
      <c r="D317" s="416"/>
      <c r="E317" s="417"/>
      <c r="F317" s="418"/>
      <c r="G317" s="418"/>
      <c r="H317" s="418"/>
      <c r="I317" s="418"/>
      <c r="J317" s="418"/>
      <c r="K317" s="418"/>
      <c r="L317" s="418"/>
      <c r="M317" s="418"/>
      <c r="N317" s="418"/>
      <c r="O317" s="418"/>
      <c r="P317" s="418"/>
      <c r="Q317" s="418"/>
      <c r="R317" s="418"/>
      <c r="S317" s="418"/>
      <c r="T317" s="418"/>
      <c r="U317" s="418"/>
      <c r="V317" s="418"/>
      <c r="W317" s="418"/>
      <c r="X317" s="418"/>
      <c r="Y317" s="418"/>
      <c r="Z317" s="418"/>
      <c r="AA317" s="418"/>
      <c r="AB317" s="418"/>
      <c r="AC317" s="419"/>
      <c r="AD317" s="420" t="s">
        <v>37</v>
      </c>
      <c r="AE317" s="415"/>
      <c r="AF317" s="415"/>
      <c r="AG317" s="415"/>
      <c r="AH317" s="415"/>
      <c r="AI317" s="415"/>
      <c r="AJ317" s="415"/>
      <c r="AK317" s="415"/>
      <c r="AL317" s="415"/>
      <c r="AM317" s="415"/>
      <c r="AN317" s="415"/>
      <c r="AO317" s="415"/>
      <c r="AP317" s="416"/>
      <c r="AQ317" s="421" t="s">
        <v>64</v>
      </c>
      <c r="AR317" s="422"/>
      <c r="AS317" s="422"/>
      <c r="AT317" s="422"/>
      <c r="AU317" s="422"/>
      <c r="AV317" s="422"/>
      <c r="AW317" s="422"/>
      <c r="AX317" s="422"/>
      <c r="AY317" s="422"/>
      <c r="AZ317" s="422"/>
      <c r="BA317" s="422"/>
      <c r="BB317" s="423"/>
      <c r="BC317" s="424" t="s">
        <v>63</v>
      </c>
      <c r="BD317" s="425"/>
      <c r="BE317" s="425"/>
      <c r="BF317" s="425"/>
      <c r="BG317" s="425"/>
      <c r="BH317" s="426"/>
      <c r="BI317" s="3"/>
    </row>
    <row r="318" spans="1:106" ht="12" hidden="1" customHeight="1" x14ac:dyDescent="0.2">
      <c r="A318" s="15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7"/>
      <c r="Z318" s="17"/>
      <c r="AA318" s="17"/>
      <c r="AB318" s="17"/>
      <c r="AC318" s="18"/>
      <c r="AD318" s="405" t="s">
        <v>36</v>
      </c>
      <c r="AE318" s="406"/>
      <c r="AF318" s="406"/>
      <c r="AG318" s="406"/>
      <c r="AH318" s="406"/>
      <c r="AI318" s="406"/>
      <c r="AJ318" s="406"/>
      <c r="AK318" s="406"/>
      <c r="AL318" s="406"/>
      <c r="AM318" s="406"/>
      <c r="AN318" s="406"/>
      <c r="AO318" s="406"/>
      <c r="AP318" s="406"/>
      <c r="AQ318" s="406"/>
      <c r="AR318" s="406"/>
      <c r="AS318" s="406"/>
      <c r="AT318" s="406"/>
      <c r="AU318" s="407"/>
      <c r="AV318" s="408"/>
      <c r="AW318" s="409"/>
      <c r="AX318" s="409"/>
      <c r="AY318" s="409"/>
      <c r="AZ318" s="409"/>
      <c r="BA318" s="409"/>
      <c r="BB318" s="410"/>
      <c r="BC318" s="411" t="str">
        <f>BC317</f>
        <v>0,5</v>
      </c>
      <c r="BD318" s="412"/>
      <c r="BE318" s="412"/>
      <c r="BF318" s="412"/>
      <c r="BG318" s="412"/>
      <c r="BH318" s="413"/>
      <c r="BI318" s="3"/>
    </row>
    <row r="319" spans="1:106" ht="12" hidden="1" customHeight="1" x14ac:dyDescent="0.2">
      <c r="B319" s="11"/>
    </row>
  </sheetData>
  <mergeCells count="1816">
    <mergeCell ref="A12:AE12"/>
    <mergeCell ref="AF12:BH12"/>
    <mergeCell ref="A13:BH13"/>
    <mergeCell ref="A15:L15"/>
    <mergeCell ref="M15:BH15"/>
    <mergeCell ref="D8:M8"/>
    <mergeCell ref="AK8:AT8"/>
    <mergeCell ref="E9:F9"/>
    <mergeCell ref="H9:M9"/>
    <mergeCell ref="O9:Q9"/>
    <mergeCell ref="AL9:AM9"/>
    <mergeCell ref="AO9:AT9"/>
    <mergeCell ref="A18:M18"/>
    <mergeCell ref="AP19:AS19"/>
    <mergeCell ref="AP29:AU29"/>
    <mergeCell ref="AV29:BH29"/>
    <mergeCell ref="B24:AG24"/>
    <mergeCell ref="AH24:AO24"/>
    <mergeCell ref="AP24:AU24"/>
    <mergeCell ref="AV24:BH24"/>
    <mergeCell ref="B25:AG25"/>
    <mergeCell ref="AH25:AO25"/>
    <mergeCell ref="AP25:AU25"/>
    <mergeCell ref="AV25:BH25"/>
    <mergeCell ref="A32:L32"/>
    <mergeCell ref="M32:BH32"/>
    <mergeCell ref="BC34:BH34"/>
    <mergeCell ref="B28:BH28"/>
    <mergeCell ref="AA2:BH2"/>
    <mergeCell ref="D4:X4"/>
    <mergeCell ref="AK4:BE4"/>
    <mergeCell ref="D5:X5"/>
    <mergeCell ref="AK5:BE5"/>
    <mergeCell ref="D7:M7"/>
    <mergeCell ref="N7:X7"/>
    <mergeCell ref="AK7:AT7"/>
    <mergeCell ref="AU7:BE7"/>
    <mergeCell ref="B22:AG22"/>
    <mergeCell ref="AH22:AO22"/>
    <mergeCell ref="AP22:AU22"/>
    <mergeCell ref="AV22:BH22"/>
    <mergeCell ref="B23:AG23"/>
    <mergeCell ref="AH23:AO23"/>
    <mergeCell ref="AP23:AU23"/>
    <mergeCell ref="AV23:BH23"/>
    <mergeCell ref="AV9:AX9"/>
    <mergeCell ref="AH80:AL80"/>
    <mergeCell ref="AM80:AN80"/>
    <mergeCell ref="AP80:AS80"/>
    <mergeCell ref="AT80:AU80"/>
    <mergeCell ref="AW80:AZ80"/>
    <mergeCell ref="BA80:BH80"/>
    <mergeCell ref="A81:W81"/>
    <mergeCell ref="C51:BH51"/>
    <mergeCell ref="A52:B52"/>
    <mergeCell ref="A53:W53"/>
    <mergeCell ref="X53:AA53"/>
    <mergeCell ref="AB53:AF53"/>
    <mergeCell ref="AH53:AL53"/>
    <mergeCell ref="AF61:AJ61"/>
    <mergeCell ref="AF60:AJ60"/>
    <mergeCell ref="AF55:AJ55"/>
    <mergeCell ref="X56:Z56"/>
    <mergeCell ref="AB56:AZ56"/>
    <mergeCell ref="BA56:BE56"/>
    <mergeCell ref="BF56:BH56"/>
    <mergeCell ref="R57:S57"/>
    <mergeCell ref="U57:W57"/>
    <mergeCell ref="X57:Z57"/>
    <mergeCell ref="AB57:AZ57"/>
    <mergeCell ref="BA57:BE57"/>
    <mergeCell ref="BF57:BH57"/>
    <mergeCell ref="X55:Z55"/>
    <mergeCell ref="BA55:BE55"/>
    <mergeCell ref="BF55:BH55"/>
    <mergeCell ref="A57:B57"/>
    <mergeCell ref="D57:H57"/>
    <mergeCell ref="C52:AZ52"/>
    <mergeCell ref="BA93:BE93"/>
    <mergeCell ref="BF93:BH93"/>
    <mergeCell ref="X94:Z94"/>
    <mergeCell ref="AF92:AJ92"/>
    <mergeCell ref="A86:P86"/>
    <mergeCell ref="R86:S86"/>
    <mergeCell ref="U86:W86"/>
    <mergeCell ref="X86:Z86"/>
    <mergeCell ref="AB86:AZ86"/>
    <mergeCell ref="BA86:BE86"/>
    <mergeCell ref="A85:W85"/>
    <mergeCell ref="X85:Z85"/>
    <mergeCell ref="AB85:AS85"/>
    <mergeCell ref="AT85:AU85"/>
    <mergeCell ref="AW85:AZ85"/>
    <mergeCell ref="BA85:BE85"/>
    <mergeCell ref="BF85:BH85"/>
    <mergeCell ref="BF86:BH86"/>
    <mergeCell ref="A91:W91"/>
    <mergeCell ref="X91:AA91"/>
    <mergeCell ref="AB91:AF91"/>
    <mergeCell ref="AH91:AL91"/>
    <mergeCell ref="AM91:AN91"/>
    <mergeCell ref="AP91:AS91"/>
    <mergeCell ref="AT91:AU91"/>
    <mergeCell ref="AW91:AZ91"/>
    <mergeCell ref="BA91:BH91"/>
    <mergeCell ref="A89:B89"/>
    <mergeCell ref="C89:BH89"/>
    <mergeCell ref="A90:B90"/>
    <mergeCell ref="C90:AZ90"/>
    <mergeCell ref="BA90:BH90"/>
    <mergeCell ref="I120:N120"/>
    <mergeCell ref="AF128:AJ128"/>
    <mergeCell ref="A120:B120"/>
    <mergeCell ref="D120:H120"/>
    <mergeCell ref="R120:S120"/>
    <mergeCell ref="U120:W120"/>
    <mergeCell ref="X120:Z120"/>
    <mergeCell ref="AB120:AZ120"/>
    <mergeCell ref="BA120:BE120"/>
    <mergeCell ref="BF120:BH120"/>
    <mergeCell ref="A126:B126"/>
    <mergeCell ref="AS108:AU108"/>
    <mergeCell ref="BF119:BH119"/>
    <mergeCell ref="C126:AZ126"/>
    <mergeCell ref="BA126:BH126"/>
    <mergeCell ref="A108:W110"/>
    <mergeCell ref="X108:Z108"/>
    <mergeCell ref="AB108:AE108"/>
    <mergeCell ref="AF108:AJ108"/>
    <mergeCell ref="AL108:AP108"/>
    <mergeCell ref="AQ108:AR108"/>
    <mergeCell ref="AW108:AZ108"/>
    <mergeCell ref="AF117:AJ117"/>
    <mergeCell ref="A113:W113"/>
    <mergeCell ref="AW113:AY113"/>
    <mergeCell ref="BA113:BE113"/>
    <mergeCell ref="BF113:BH113"/>
    <mergeCell ref="AF123:AJ123"/>
    <mergeCell ref="AF122:AJ122"/>
    <mergeCell ref="AW112:AY112"/>
    <mergeCell ref="BA112:BE112"/>
    <mergeCell ref="A114:B114"/>
    <mergeCell ref="A132:B132"/>
    <mergeCell ref="C132:AZ132"/>
    <mergeCell ref="BA132:BH132"/>
    <mergeCell ref="A133:W133"/>
    <mergeCell ref="X133:AA133"/>
    <mergeCell ref="AB133:AF133"/>
    <mergeCell ref="AH133:AL133"/>
    <mergeCell ref="AM133:AN133"/>
    <mergeCell ref="AP133:AS133"/>
    <mergeCell ref="AF129:AJ129"/>
    <mergeCell ref="A131:B131"/>
    <mergeCell ref="D131:H131"/>
    <mergeCell ref="R131:S131"/>
    <mergeCell ref="U131:W131"/>
    <mergeCell ref="X131:Z131"/>
    <mergeCell ref="AB131:AZ131"/>
    <mergeCell ref="BA131:BE131"/>
    <mergeCell ref="BF131:BH131"/>
    <mergeCell ref="I131:N131"/>
    <mergeCell ref="AE103:AF103"/>
    <mergeCell ref="AK103:AL103"/>
    <mergeCell ref="AN103:AY103"/>
    <mergeCell ref="BA103:BE103"/>
    <mergeCell ref="A104:W104"/>
    <mergeCell ref="X104:Z104"/>
    <mergeCell ref="AE104:AF104"/>
    <mergeCell ref="AK104:AL104"/>
    <mergeCell ref="AN104:AY104"/>
    <mergeCell ref="X96:Z96"/>
    <mergeCell ref="AF93:AJ93"/>
    <mergeCell ref="AS92:AU92"/>
    <mergeCell ref="AW88:AY88"/>
    <mergeCell ref="A79:B79"/>
    <mergeCell ref="C79:AZ79"/>
    <mergeCell ref="BA79:BH79"/>
    <mergeCell ref="A80:W80"/>
    <mergeCell ref="X80:AA80"/>
    <mergeCell ref="AB80:AF80"/>
    <mergeCell ref="BA104:BE104"/>
    <mergeCell ref="X81:Z81"/>
    <mergeCell ref="AB81:AS81"/>
    <mergeCell ref="AT81:AU81"/>
    <mergeCell ref="AW81:AZ81"/>
    <mergeCell ref="BA81:BE81"/>
    <mergeCell ref="BF81:BH81"/>
    <mergeCell ref="A82:P82"/>
    <mergeCell ref="R82:S82"/>
    <mergeCell ref="U82:W82"/>
    <mergeCell ref="X82:Z82"/>
    <mergeCell ref="AB82:AZ82"/>
    <mergeCell ref="BA82:BE82"/>
    <mergeCell ref="X105:Z105"/>
    <mergeCell ref="AB105:AZ105"/>
    <mergeCell ref="BA105:BE105"/>
    <mergeCell ref="BF105:BH105"/>
    <mergeCell ref="A96:W96"/>
    <mergeCell ref="AE95:AF95"/>
    <mergeCell ref="I98:N98"/>
    <mergeCell ref="A92:W94"/>
    <mergeCell ref="A95:W95"/>
    <mergeCell ref="X97:Z97"/>
    <mergeCell ref="BF234:BH234"/>
    <mergeCell ref="A235:W235"/>
    <mergeCell ref="X235:Z235"/>
    <mergeCell ref="AE235:AF235"/>
    <mergeCell ref="AK235:AL235"/>
    <mergeCell ref="AN235:AY235"/>
    <mergeCell ref="BA235:BE235"/>
    <mergeCell ref="AB96:AD96"/>
    <mergeCell ref="X95:Z95"/>
    <mergeCell ref="X92:Z92"/>
    <mergeCell ref="AB92:AE92"/>
    <mergeCell ref="AL92:AP92"/>
    <mergeCell ref="AQ92:AR92"/>
    <mergeCell ref="AW92:AZ92"/>
    <mergeCell ref="BA92:BE92"/>
    <mergeCell ref="BF92:BH92"/>
    <mergeCell ref="X93:Z93"/>
    <mergeCell ref="AB93:AE93"/>
    <mergeCell ref="AL93:AP93"/>
    <mergeCell ref="BA96:BE96"/>
    <mergeCell ref="AK95:AL95"/>
    <mergeCell ref="AK96:AL96"/>
    <mergeCell ref="AL282:AP282"/>
    <mergeCell ref="AQ282:AR282"/>
    <mergeCell ref="AS282:AU282"/>
    <mergeCell ref="AW282:AZ282"/>
    <mergeCell ref="BA282:BE282"/>
    <mergeCell ref="BF282:BH282"/>
    <mergeCell ref="AM281:AN281"/>
    <mergeCell ref="AP281:AS281"/>
    <mergeCell ref="AT281:AU281"/>
    <mergeCell ref="AW281:AZ281"/>
    <mergeCell ref="BA281:BH281"/>
    <mergeCell ref="AN260:AY260"/>
    <mergeCell ref="BA260:BE260"/>
    <mergeCell ref="A261:W261"/>
    <mergeCell ref="X261:Z261"/>
    <mergeCell ref="AE261:AF261"/>
    <mergeCell ref="AK261:AL261"/>
    <mergeCell ref="BF265:BH265"/>
    <mergeCell ref="AK260:AL260"/>
    <mergeCell ref="AB265:AE265"/>
    <mergeCell ref="AL265:AP265"/>
    <mergeCell ref="AQ265:AR265"/>
    <mergeCell ref="AS265:AU265"/>
    <mergeCell ref="AW265:AZ265"/>
    <mergeCell ref="BA265:BE265"/>
    <mergeCell ref="X266:Z266"/>
    <mergeCell ref="AB266:AE266"/>
    <mergeCell ref="AF266:AJ266"/>
    <mergeCell ref="AL266:AP266"/>
    <mergeCell ref="AF265:AJ265"/>
    <mergeCell ref="X242:Z242"/>
    <mergeCell ref="AB242:AZ242"/>
    <mergeCell ref="AN236:AY236"/>
    <mergeCell ref="BA236:BE236"/>
    <mergeCell ref="X237:Z237"/>
    <mergeCell ref="AB237:AZ237"/>
    <mergeCell ref="BA237:BE237"/>
    <mergeCell ref="BF237:BH237"/>
    <mergeCell ref="A238:B238"/>
    <mergeCell ref="D238:H238"/>
    <mergeCell ref="I238:N238"/>
    <mergeCell ref="R238:S238"/>
    <mergeCell ref="U238:W238"/>
    <mergeCell ref="X238:Z238"/>
    <mergeCell ref="AB238:AZ238"/>
    <mergeCell ref="BA238:BE238"/>
    <mergeCell ref="A239:W239"/>
    <mergeCell ref="X239:AA239"/>
    <mergeCell ref="AB239:AF239"/>
    <mergeCell ref="AH239:AL239"/>
    <mergeCell ref="AM239:AN239"/>
    <mergeCell ref="AP239:AS239"/>
    <mergeCell ref="AT239:AU239"/>
    <mergeCell ref="AW239:AZ239"/>
    <mergeCell ref="BA239:BH239"/>
    <mergeCell ref="A240:W242"/>
    <mergeCell ref="X240:Z240"/>
    <mergeCell ref="AB240:AE240"/>
    <mergeCell ref="A236:W236"/>
    <mergeCell ref="X236:Z236"/>
    <mergeCell ref="BA242:BE242"/>
    <mergeCell ref="AK236:AL236"/>
    <mergeCell ref="BF233:BH233"/>
    <mergeCell ref="X234:Z234"/>
    <mergeCell ref="AB234:AZ234"/>
    <mergeCell ref="BA234:BE234"/>
    <mergeCell ref="AF240:AJ240"/>
    <mergeCell ref="AL240:AP240"/>
    <mergeCell ref="AQ240:AR240"/>
    <mergeCell ref="AS240:AU240"/>
    <mergeCell ref="AW240:AZ240"/>
    <mergeCell ref="BA240:BE240"/>
    <mergeCell ref="BF240:BH240"/>
    <mergeCell ref="X241:Z241"/>
    <mergeCell ref="AB241:AE241"/>
    <mergeCell ref="AF241:AJ241"/>
    <mergeCell ref="AL241:AP241"/>
    <mergeCell ref="BA241:BE241"/>
    <mergeCell ref="BF238:BH238"/>
    <mergeCell ref="BF241:BH241"/>
    <mergeCell ref="A286:W286"/>
    <mergeCell ref="X286:Z286"/>
    <mergeCell ref="AE286:AF286"/>
    <mergeCell ref="AK286:AL286"/>
    <mergeCell ref="AN286:AY286"/>
    <mergeCell ref="BA286:BE286"/>
    <mergeCell ref="X287:Z287"/>
    <mergeCell ref="A268:B268"/>
    <mergeCell ref="D268:H268"/>
    <mergeCell ref="I268:N268"/>
    <mergeCell ref="R268:S268"/>
    <mergeCell ref="U268:W268"/>
    <mergeCell ref="X268:Z268"/>
    <mergeCell ref="AB268:AZ268"/>
    <mergeCell ref="BA268:BE268"/>
    <mergeCell ref="BF268:BH268"/>
    <mergeCell ref="BA266:BE266"/>
    <mergeCell ref="BF266:BH266"/>
    <mergeCell ref="X267:Z267"/>
    <mergeCell ref="AB267:AZ267"/>
    <mergeCell ref="BA267:BE267"/>
    <mergeCell ref="BF267:BH267"/>
    <mergeCell ref="A282:W284"/>
    <mergeCell ref="X282:Z282"/>
    <mergeCell ref="AB282:AE282"/>
    <mergeCell ref="AF282:AJ282"/>
    <mergeCell ref="A281:W281"/>
    <mergeCell ref="X281:AA281"/>
    <mergeCell ref="AB281:AF281"/>
    <mergeCell ref="AH281:AL281"/>
    <mergeCell ref="A265:W267"/>
    <mergeCell ref="X265:Z265"/>
    <mergeCell ref="A312:D312"/>
    <mergeCell ref="E312:AC312"/>
    <mergeCell ref="AD312:AP312"/>
    <mergeCell ref="AQ312:BB312"/>
    <mergeCell ref="BC312:BH312"/>
    <mergeCell ref="A296:B296"/>
    <mergeCell ref="C296:BH296"/>
    <mergeCell ref="A297:B297"/>
    <mergeCell ref="C297:AZ297"/>
    <mergeCell ref="BA297:BH297"/>
    <mergeCell ref="A298:W298"/>
    <mergeCell ref="AF291:AJ291"/>
    <mergeCell ref="AF290:AJ290"/>
    <mergeCell ref="AQ290:AR290"/>
    <mergeCell ref="AS290:AU290"/>
    <mergeCell ref="AW290:AZ290"/>
    <mergeCell ref="BA290:BE290"/>
    <mergeCell ref="BF290:BH290"/>
    <mergeCell ref="X291:Z291"/>
    <mergeCell ref="A307:AI307"/>
    <mergeCell ref="AK307:AM307"/>
    <mergeCell ref="AO307:AS307"/>
    <mergeCell ref="AW307:AY307"/>
    <mergeCell ref="BA307:BE307"/>
    <mergeCell ref="BF307:BH307"/>
    <mergeCell ref="A299:W300"/>
    <mergeCell ref="X299:Z299"/>
    <mergeCell ref="AB299:AS299"/>
    <mergeCell ref="AT299:AU299"/>
    <mergeCell ref="AW299:AZ299"/>
    <mergeCell ref="BA299:BE299"/>
    <mergeCell ref="BF299:BH299"/>
    <mergeCell ref="AD318:AU318"/>
    <mergeCell ref="AV318:BB318"/>
    <mergeCell ref="BC318:BH318"/>
    <mergeCell ref="A317:D317"/>
    <mergeCell ref="E317:AC317"/>
    <mergeCell ref="AD317:AP317"/>
    <mergeCell ref="AQ317:BB317"/>
    <mergeCell ref="BC317:BH317"/>
    <mergeCell ref="AD315:AU315"/>
    <mergeCell ref="AV315:BB315"/>
    <mergeCell ref="BC315:BH315"/>
    <mergeCell ref="A313:D314"/>
    <mergeCell ref="E313:AC314"/>
    <mergeCell ref="AD313:AP313"/>
    <mergeCell ref="AQ313:BB313"/>
    <mergeCell ref="BC313:BH313"/>
    <mergeCell ref="AD314:AP314"/>
    <mergeCell ref="AQ314:BB314"/>
    <mergeCell ref="BC314:BH314"/>
    <mergeCell ref="X38:AA38"/>
    <mergeCell ref="AB38:AF38"/>
    <mergeCell ref="AT38:AU38"/>
    <mergeCell ref="AW38:AZ38"/>
    <mergeCell ref="A20:L20"/>
    <mergeCell ref="M20:BH20"/>
    <mergeCell ref="N18:S18"/>
    <mergeCell ref="W17:AN17"/>
    <mergeCell ref="AO17:AS17"/>
    <mergeCell ref="BC17:BH17"/>
    <mergeCell ref="AT17:BB17"/>
    <mergeCell ref="AQ18:AS18"/>
    <mergeCell ref="BE18:BH18"/>
    <mergeCell ref="AU18:AX18"/>
    <mergeCell ref="AZ18:BC18"/>
    <mergeCell ref="AL18:AN18"/>
    <mergeCell ref="X18:AJ18"/>
    <mergeCell ref="U18:V18"/>
    <mergeCell ref="N19:S19"/>
    <mergeCell ref="BC35:BH35"/>
    <mergeCell ref="AH38:AL38"/>
    <mergeCell ref="AP38:AS38"/>
    <mergeCell ref="AM38:AN38"/>
    <mergeCell ref="A33:L33"/>
    <mergeCell ref="M33:BH33"/>
    <mergeCell ref="B30:AG30"/>
    <mergeCell ref="A17:P17"/>
    <mergeCell ref="Q17:U17"/>
    <mergeCell ref="AP27:AU27"/>
    <mergeCell ref="AV27:BH27"/>
    <mergeCell ref="B29:AG29"/>
    <mergeCell ref="AH29:AO29"/>
    <mergeCell ref="A35:W35"/>
    <mergeCell ref="A38:W38"/>
    <mergeCell ref="A39:W39"/>
    <mergeCell ref="AT39:AU39"/>
    <mergeCell ref="AW39:AZ39"/>
    <mergeCell ref="AB39:AS39"/>
    <mergeCell ref="X35:BB35"/>
    <mergeCell ref="C37:AZ37"/>
    <mergeCell ref="BA37:BH37"/>
    <mergeCell ref="X19:AJ19"/>
    <mergeCell ref="AL19:AN19"/>
    <mergeCell ref="AU19:AX19"/>
    <mergeCell ref="AZ19:BC19"/>
    <mergeCell ref="BE19:BH19"/>
    <mergeCell ref="T19:V19"/>
    <mergeCell ref="A19:M19"/>
    <mergeCell ref="X40:Z40"/>
    <mergeCell ref="AB40:AZ40"/>
    <mergeCell ref="AH30:AO30"/>
    <mergeCell ref="AP30:AU30"/>
    <mergeCell ref="AV30:BH30"/>
    <mergeCell ref="BF39:BH39"/>
    <mergeCell ref="BA40:BE40"/>
    <mergeCell ref="BF40:BH40"/>
    <mergeCell ref="BA39:BE39"/>
    <mergeCell ref="BA38:BH38"/>
    <mergeCell ref="B27:AG27"/>
    <mergeCell ref="AH27:AO27"/>
    <mergeCell ref="C36:BH36"/>
    <mergeCell ref="A36:B36"/>
    <mergeCell ref="A37:B37"/>
    <mergeCell ref="X39:Z39"/>
    <mergeCell ref="AT47:AU47"/>
    <mergeCell ref="AW47:AZ47"/>
    <mergeCell ref="BA47:BE47"/>
    <mergeCell ref="BF47:BH47"/>
    <mergeCell ref="A42:W42"/>
    <mergeCell ref="X42:AA42"/>
    <mergeCell ref="AB42:AF42"/>
    <mergeCell ref="AH42:AL42"/>
    <mergeCell ref="AM42:AN42"/>
    <mergeCell ref="AP42:AS42"/>
    <mergeCell ref="AT42:AU42"/>
    <mergeCell ref="AW42:AZ42"/>
    <mergeCell ref="BA42:BH42"/>
    <mergeCell ref="A43:W43"/>
    <mergeCell ref="X43:Z43"/>
    <mergeCell ref="AB43:AS43"/>
    <mergeCell ref="AT43:AU43"/>
    <mergeCell ref="AW43:AZ43"/>
    <mergeCell ref="BA43:BE43"/>
    <mergeCell ref="BF43:BH43"/>
    <mergeCell ref="X44:Z44"/>
    <mergeCell ref="AB44:AZ44"/>
    <mergeCell ref="BA44:BE44"/>
    <mergeCell ref="BF44:BH44"/>
    <mergeCell ref="BF50:BH50"/>
    <mergeCell ref="AW50:AY50"/>
    <mergeCell ref="AW49:AY49"/>
    <mergeCell ref="BA49:BE49"/>
    <mergeCell ref="U40:W40"/>
    <mergeCell ref="R40:S40"/>
    <mergeCell ref="A40:P40"/>
    <mergeCell ref="A44:P44"/>
    <mergeCell ref="R44:S44"/>
    <mergeCell ref="U44:W44"/>
    <mergeCell ref="A48:P48"/>
    <mergeCell ref="R48:S48"/>
    <mergeCell ref="U48:W48"/>
    <mergeCell ref="X48:Z48"/>
    <mergeCell ref="AB48:AZ48"/>
    <mergeCell ref="BA48:BE48"/>
    <mergeCell ref="BF48:BH48"/>
    <mergeCell ref="A41:B41"/>
    <mergeCell ref="A50:W50"/>
    <mergeCell ref="A45:B45"/>
    <mergeCell ref="A46:W46"/>
    <mergeCell ref="X46:AA46"/>
    <mergeCell ref="AB46:AF46"/>
    <mergeCell ref="AH46:AL46"/>
    <mergeCell ref="AM46:AN46"/>
    <mergeCell ref="AP46:AS46"/>
    <mergeCell ref="AT46:AU46"/>
    <mergeCell ref="AW46:AZ46"/>
    <mergeCell ref="BA46:BH46"/>
    <mergeCell ref="A47:W47"/>
    <mergeCell ref="X47:Z47"/>
    <mergeCell ref="AB47:AS47"/>
    <mergeCell ref="BA52:BH52"/>
    <mergeCell ref="A54:W56"/>
    <mergeCell ref="C41:AZ41"/>
    <mergeCell ref="C45:AZ45"/>
    <mergeCell ref="BA41:BH41"/>
    <mergeCell ref="BA45:BH45"/>
    <mergeCell ref="A58:B58"/>
    <mergeCell ref="C58:AZ58"/>
    <mergeCell ref="BA58:BH58"/>
    <mergeCell ref="A59:W59"/>
    <mergeCell ref="X59:AA59"/>
    <mergeCell ref="AB59:AF59"/>
    <mergeCell ref="AH59:AL59"/>
    <mergeCell ref="AM59:AN59"/>
    <mergeCell ref="AP59:AS59"/>
    <mergeCell ref="AT59:AU59"/>
    <mergeCell ref="AW59:AZ59"/>
    <mergeCell ref="BA59:BH59"/>
    <mergeCell ref="AB54:AE54"/>
    <mergeCell ref="AB55:AE55"/>
    <mergeCell ref="AF54:AJ54"/>
    <mergeCell ref="AL54:AP54"/>
    <mergeCell ref="AL55:AP55"/>
    <mergeCell ref="AM53:AN53"/>
    <mergeCell ref="AP53:AS53"/>
    <mergeCell ref="AT53:AU53"/>
    <mergeCell ref="AW53:AZ53"/>
    <mergeCell ref="BA53:BH53"/>
    <mergeCell ref="X54:Z54"/>
    <mergeCell ref="BA54:BE54"/>
    <mergeCell ref="BF54:BH54"/>
    <mergeCell ref="BA50:BE50"/>
    <mergeCell ref="BA60:BE60"/>
    <mergeCell ref="BF60:BH60"/>
    <mergeCell ref="X61:Z61"/>
    <mergeCell ref="AB61:AE61"/>
    <mergeCell ref="AL61:AP61"/>
    <mergeCell ref="BA61:BE61"/>
    <mergeCell ref="BF61:BH61"/>
    <mergeCell ref="X62:Z62"/>
    <mergeCell ref="AB62:AZ62"/>
    <mergeCell ref="BA62:BE62"/>
    <mergeCell ref="BF62:BH62"/>
    <mergeCell ref="A63:B63"/>
    <mergeCell ref="D63:H63"/>
    <mergeCell ref="R63:S63"/>
    <mergeCell ref="U63:W63"/>
    <mergeCell ref="X63:Z63"/>
    <mergeCell ref="AB63:AZ63"/>
    <mergeCell ref="BA63:BE63"/>
    <mergeCell ref="BF63:BH63"/>
    <mergeCell ref="AQ60:AR60"/>
    <mergeCell ref="AW60:AZ60"/>
    <mergeCell ref="AS60:AU60"/>
    <mergeCell ref="A60:W62"/>
    <mergeCell ref="X60:Z60"/>
    <mergeCell ref="AB60:AE60"/>
    <mergeCell ref="AL60:AP60"/>
    <mergeCell ref="A64:B64"/>
    <mergeCell ref="C64:AZ64"/>
    <mergeCell ref="BA64:BH64"/>
    <mergeCell ref="A65:W65"/>
    <mergeCell ref="X65:AA65"/>
    <mergeCell ref="AB65:AF65"/>
    <mergeCell ref="AH65:AL65"/>
    <mergeCell ref="AM65:AN65"/>
    <mergeCell ref="AP65:AS65"/>
    <mergeCell ref="AT65:AU65"/>
    <mergeCell ref="AW65:AZ65"/>
    <mergeCell ref="BA65:BH65"/>
    <mergeCell ref="A66:W68"/>
    <mergeCell ref="X66:Z66"/>
    <mergeCell ref="AB66:AE66"/>
    <mergeCell ref="AL66:AP66"/>
    <mergeCell ref="AQ66:AR66"/>
    <mergeCell ref="AS66:AU66"/>
    <mergeCell ref="AW66:AZ66"/>
    <mergeCell ref="BA66:BE66"/>
    <mergeCell ref="BF66:BH66"/>
    <mergeCell ref="X67:Z67"/>
    <mergeCell ref="AB67:AE67"/>
    <mergeCell ref="AL67:AP67"/>
    <mergeCell ref="BA67:BE67"/>
    <mergeCell ref="BF67:BH67"/>
    <mergeCell ref="X68:Z68"/>
    <mergeCell ref="AB68:AZ68"/>
    <mergeCell ref="BA68:BE68"/>
    <mergeCell ref="BF68:BH68"/>
    <mergeCell ref="AF66:AJ66"/>
    <mergeCell ref="AF67:AJ67"/>
    <mergeCell ref="AL73:AP73"/>
    <mergeCell ref="BA73:BE73"/>
    <mergeCell ref="BF73:BH73"/>
    <mergeCell ref="X74:Z74"/>
    <mergeCell ref="AB74:AZ74"/>
    <mergeCell ref="BA74:BE74"/>
    <mergeCell ref="BF74:BH74"/>
    <mergeCell ref="A69:B69"/>
    <mergeCell ref="D69:H69"/>
    <mergeCell ref="R69:S69"/>
    <mergeCell ref="U69:W69"/>
    <mergeCell ref="X69:Z69"/>
    <mergeCell ref="AB69:AZ69"/>
    <mergeCell ref="BA69:BE69"/>
    <mergeCell ref="BF69:BH69"/>
    <mergeCell ref="A70:B70"/>
    <mergeCell ref="C70:AZ70"/>
    <mergeCell ref="BA70:BH70"/>
    <mergeCell ref="A71:W71"/>
    <mergeCell ref="X71:AA71"/>
    <mergeCell ref="AB71:AF71"/>
    <mergeCell ref="AH71:AL71"/>
    <mergeCell ref="AM71:AN71"/>
    <mergeCell ref="AP71:AS71"/>
    <mergeCell ref="AT71:AU71"/>
    <mergeCell ref="AW71:AZ71"/>
    <mergeCell ref="BA71:BH71"/>
    <mergeCell ref="AF72:AJ72"/>
    <mergeCell ref="AF73:AJ73"/>
    <mergeCell ref="A75:B75"/>
    <mergeCell ref="D75:H75"/>
    <mergeCell ref="R75:S75"/>
    <mergeCell ref="U75:W75"/>
    <mergeCell ref="X75:Z75"/>
    <mergeCell ref="AB75:AZ75"/>
    <mergeCell ref="BA75:BE75"/>
    <mergeCell ref="BF75:BH75"/>
    <mergeCell ref="AW76:AY76"/>
    <mergeCell ref="BA76:BE76"/>
    <mergeCell ref="A77:W77"/>
    <mergeCell ref="AW77:AY77"/>
    <mergeCell ref="BA77:BE77"/>
    <mergeCell ref="BF77:BH77"/>
    <mergeCell ref="A51:B51"/>
    <mergeCell ref="A78:B78"/>
    <mergeCell ref="C78:BH78"/>
    <mergeCell ref="I75:N75"/>
    <mergeCell ref="I69:N69"/>
    <mergeCell ref="I63:N63"/>
    <mergeCell ref="I57:N57"/>
    <mergeCell ref="A72:W74"/>
    <mergeCell ref="X72:Z72"/>
    <mergeCell ref="AB72:AE72"/>
    <mergeCell ref="AL72:AP72"/>
    <mergeCell ref="AQ72:AR72"/>
    <mergeCell ref="AS72:AU72"/>
    <mergeCell ref="AW72:AZ72"/>
    <mergeCell ref="BA72:BE72"/>
    <mergeCell ref="BF72:BH72"/>
    <mergeCell ref="X73:Z73"/>
    <mergeCell ref="AB73:AE73"/>
    <mergeCell ref="BF82:BH82"/>
    <mergeCell ref="A83:B83"/>
    <mergeCell ref="C83:AZ83"/>
    <mergeCell ref="BA83:BH83"/>
    <mergeCell ref="A84:W84"/>
    <mergeCell ref="X84:AA84"/>
    <mergeCell ref="AB84:AF84"/>
    <mergeCell ref="AH84:AL84"/>
    <mergeCell ref="AM84:AN84"/>
    <mergeCell ref="AP84:AS84"/>
    <mergeCell ref="AT84:AU84"/>
    <mergeCell ref="AW84:AZ84"/>
    <mergeCell ref="BA84:BH84"/>
    <mergeCell ref="AW87:AY87"/>
    <mergeCell ref="BA87:BE87"/>
    <mergeCell ref="A88:W88"/>
    <mergeCell ref="BA88:BE88"/>
    <mergeCell ref="BF88:BH88"/>
    <mergeCell ref="AE96:AF96"/>
    <mergeCell ref="AN95:AY95"/>
    <mergeCell ref="AN96:AY96"/>
    <mergeCell ref="BA95:BE95"/>
    <mergeCell ref="AB97:AZ97"/>
    <mergeCell ref="BA97:BE97"/>
    <mergeCell ref="BF97:BH97"/>
    <mergeCell ref="AB94:AZ94"/>
    <mergeCell ref="BA94:BE94"/>
    <mergeCell ref="BF94:BH94"/>
    <mergeCell ref="A98:B98"/>
    <mergeCell ref="D98:H98"/>
    <mergeCell ref="R98:S98"/>
    <mergeCell ref="U98:W98"/>
    <mergeCell ref="X98:Z98"/>
    <mergeCell ref="AB98:AZ98"/>
    <mergeCell ref="BA98:BE98"/>
    <mergeCell ref="BF98:BH98"/>
    <mergeCell ref="AH95:AJ95"/>
    <mergeCell ref="AH96:AJ96"/>
    <mergeCell ref="AB95:AD95"/>
    <mergeCell ref="C114:BH114"/>
    <mergeCell ref="A115:B115"/>
    <mergeCell ref="C115:AZ115"/>
    <mergeCell ref="BA115:BH115"/>
    <mergeCell ref="A116:W116"/>
    <mergeCell ref="X116:AA116"/>
    <mergeCell ref="AB116:AF116"/>
    <mergeCell ref="AH116:AL116"/>
    <mergeCell ref="AM116:AN116"/>
    <mergeCell ref="AP116:AS116"/>
    <mergeCell ref="AT116:AU116"/>
    <mergeCell ref="AW116:AZ116"/>
    <mergeCell ref="BA116:BH116"/>
    <mergeCell ref="A117:W119"/>
    <mergeCell ref="X117:Z117"/>
    <mergeCell ref="AB117:AE117"/>
    <mergeCell ref="AL117:AP117"/>
    <mergeCell ref="BA117:BE117"/>
    <mergeCell ref="BF117:BH117"/>
    <mergeCell ref="X118:Z118"/>
    <mergeCell ref="AB118:AE118"/>
    <mergeCell ref="AF118:AJ118"/>
    <mergeCell ref="AL118:AP118"/>
    <mergeCell ref="BA118:BE118"/>
    <mergeCell ref="BF118:BH118"/>
    <mergeCell ref="X119:Z119"/>
    <mergeCell ref="AB119:AZ119"/>
    <mergeCell ref="BA119:BE119"/>
    <mergeCell ref="A127:W127"/>
    <mergeCell ref="X127:AA127"/>
    <mergeCell ref="AB127:AF127"/>
    <mergeCell ref="AH127:AL127"/>
    <mergeCell ref="AM127:AN127"/>
    <mergeCell ref="AP127:AS127"/>
    <mergeCell ref="AT127:AU127"/>
    <mergeCell ref="AW127:AZ127"/>
    <mergeCell ref="BA127:BH127"/>
    <mergeCell ref="A128:W130"/>
    <mergeCell ref="X128:Z128"/>
    <mergeCell ref="AB128:AE128"/>
    <mergeCell ref="AL128:AP128"/>
    <mergeCell ref="BA128:BE128"/>
    <mergeCell ref="BF128:BH128"/>
    <mergeCell ref="X129:Z129"/>
    <mergeCell ref="AB129:AE129"/>
    <mergeCell ref="AL129:AP129"/>
    <mergeCell ref="BA129:BE129"/>
    <mergeCell ref="BF129:BH129"/>
    <mergeCell ref="X130:Z130"/>
    <mergeCell ref="AB130:AZ130"/>
    <mergeCell ref="BA130:BE130"/>
    <mergeCell ref="BF130:BH130"/>
    <mergeCell ref="A137:W137"/>
    <mergeCell ref="X137:AA137"/>
    <mergeCell ref="AB137:AF137"/>
    <mergeCell ref="AH137:AL137"/>
    <mergeCell ref="AM137:AN137"/>
    <mergeCell ref="AP137:AS137"/>
    <mergeCell ref="AT137:AU137"/>
    <mergeCell ref="AW137:AZ137"/>
    <mergeCell ref="BA137:BH137"/>
    <mergeCell ref="AT133:AU133"/>
    <mergeCell ref="AW133:AZ133"/>
    <mergeCell ref="BA133:BH133"/>
    <mergeCell ref="A134:W134"/>
    <mergeCell ref="X134:Z134"/>
    <mergeCell ref="AB134:AS134"/>
    <mergeCell ref="AT134:AU134"/>
    <mergeCell ref="AW134:AZ134"/>
    <mergeCell ref="BA134:BE134"/>
    <mergeCell ref="BF134:BH134"/>
    <mergeCell ref="A135:P135"/>
    <mergeCell ref="R135:S135"/>
    <mergeCell ref="U135:W135"/>
    <mergeCell ref="X135:Z135"/>
    <mergeCell ref="AB135:AZ135"/>
    <mergeCell ref="BA135:BE135"/>
    <mergeCell ref="BF135:BH135"/>
    <mergeCell ref="X142:Z142"/>
    <mergeCell ref="AB143:AZ143"/>
    <mergeCell ref="BA142:BE142"/>
    <mergeCell ref="AB149:AZ149"/>
    <mergeCell ref="BF149:BH149"/>
    <mergeCell ref="B26:AG26"/>
    <mergeCell ref="AH26:AO26"/>
    <mergeCell ref="AP26:AU26"/>
    <mergeCell ref="AV26:BH26"/>
    <mergeCell ref="A138:W140"/>
    <mergeCell ref="X138:Z138"/>
    <mergeCell ref="AB138:AE138"/>
    <mergeCell ref="AF138:AJ138"/>
    <mergeCell ref="X149:Z149"/>
    <mergeCell ref="BA149:BE149"/>
    <mergeCell ref="X140:Z140"/>
    <mergeCell ref="BA140:BE140"/>
    <mergeCell ref="X141:Z141"/>
    <mergeCell ref="BA141:BE141"/>
    <mergeCell ref="A142:W142"/>
    <mergeCell ref="AE142:AF142"/>
    <mergeCell ref="AK142:AL142"/>
    <mergeCell ref="AN142:AY142"/>
    <mergeCell ref="X143:Z143"/>
    <mergeCell ref="BA143:BE143"/>
    <mergeCell ref="A147:W149"/>
    <mergeCell ref="X147:Z147"/>
    <mergeCell ref="AB147:AE147"/>
    <mergeCell ref="AF147:AJ147"/>
    <mergeCell ref="A136:B136"/>
    <mergeCell ref="C136:AZ136"/>
    <mergeCell ref="BA136:BH136"/>
    <mergeCell ref="AL138:AP138"/>
    <mergeCell ref="AQ138:AR138"/>
    <mergeCell ref="AS138:AU138"/>
    <mergeCell ref="AW138:AZ138"/>
    <mergeCell ref="BA138:BE138"/>
    <mergeCell ref="BF138:BH138"/>
    <mergeCell ref="X139:Z139"/>
    <mergeCell ref="AB139:AE139"/>
    <mergeCell ref="AF139:AJ139"/>
    <mergeCell ref="AL139:AP139"/>
    <mergeCell ref="BA139:BE139"/>
    <mergeCell ref="BF139:BH139"/>
    <mergeCell ref="AB140:AZ140"/>
    <mergeCell ref="BF140:BH140"/>
    <mergeCell ref="A141:W141"/>
    <mergeCell ref="AE141:AF141"/>
    <mergeCell ref="AK141:AL141"/>
    <mergeCell ref="AN141:AY141"/>
    <mergeCell ref="BF143:BH143"/>
    <mergeCell ref="A144:B144"/>
    <mergeCell ref="D144:H144"/>
    <mergeCell ref="R144:S144"/>
    <mergeCell ref="U144:W144"/>
    <mergeCell ref="X144:Z144"/>
    <mergeCell ref="AB144:AZ144"/>
    <mergeCell ref="BA144:BE144"/>
    <mergeCell ref="BF144:BH144"/>
    <mergeCell ref="A145:B145"/>
    <mergeCell ref="C145:AZ145"/>
    <mergeCell ref="BA145:BH145"/>
    <mergeCell ref="A146:W146"/>
    <mergeCell ref="X146:AA146"/>
    <mergeCell ref="AB146:AF146"/>
    <mergeCell ref="AH146:AL146"/>
    <mergeCell ref="AM146:AN146"/>
    <mergeCell ref="AP146:AS146"/>
    <mergeCell ref="AT146:AU146"/>
    <mergeCell ref="AW146:AZ146"/>
    <mergeCell ref="BA146:BH146"/>
    <mergeCell ref="AL147:AP147"/>
    <mergeCell ref="BA147:BE147"/>
    <mergeCell ref="BF147:BH147"/>
    <mergeCell ref="X148:Z148"/>
    <mergeCell ref="AB148:AE148"/>
    <mergeCell ref="AF148:AJ148"/>
    <mergeCell ref="AL148:AP148"/>
    <mergeCell ref="BA148:BE148"/>
    <mergeCell ref="BF148:BH148"/>
    <mergeCell ref="A150:B150"/>
    <mergeCell ref="D150:H150"/>
    <mergeCell ref="R150:S150"/>
    <mergeCell ref="U150:W150"/>
    <mergeCell ref="X150:Z150"/>
    <mergeCell ref="AB150:AZ150"/>
    <mergeCell ref="BA150:BE150"/>
    <mergeCell ref="BF150:BH150"/>
    <mergeCell ref="A151:B151"/>
    <mergeCell ref="C151:AZ151"/>
    <mergeCell ref="BA151:BH151"/>
    <mergeCell ref="A152:W152"/>
    <mergeCell ref="X152:AA152"/>
    <mergeCell ref="AB152:AF152"/>
    <mergeCell ref="AH152:AL152"/>
    <mergeCell ref="AM152:AN152"/>
    <mergeCell ref="AP152:AS152"/>
    <mergeCell ref="AT152:AU152"/>
    <mergeCell ref="AW152:AZ152"/>
    <mergeCell ref="BA152:BH152"/>
    <mergeCell ref="A153:W155"/>
    <mergeCell ref="X153:Z153"/>
    <mergeCell ref="AB153:AE153"/>
    <mergeCell ref="AF153:AJ153"/>
    <mergeCell ref="AL153:AP153"/>
    <mergeCell ref="BA153:BE153"/>
    <mergeCell ref="BF153:BH153"/>
    <mergeCell ref="X154:Z154"/>
    <mergeCell ref="AB154:AE154"/>
    <mergeCell ref="AF154:AJ154"/>
    <mergeCell ref="AL154:AP154"/>
    <mergeCell ref="BA154:BE154"/>
    <mergeCell ref="BF154:BH154"/>
    <mergeCell ref="X155:Z155"/>
    <mergeCell ref="AB155:AZ155"/>
    <mergeCell ref="BA155:BE155"/>
    <mergeCell ref="BF155:BH155"/>
    <mergeCell ref="A156:B156"/>
    <mergeCell ref="D156:H156"/>
    <mergeCell ref="R156:S156"/>
    <mergeCell ref="U156:W156"/>
    <mergeCell ref="X156:Z156"/>
    <mergeCell ref="AB156:AZ156"/>
    <mergeCell ref="BA156:BE156"/>
    <mergeCell ref="BF156:BH156"/>
    <mergeCell ref="A157:B157"/>
    <mergeCell ref="C157:AZ157"/>
    <mergeCell ref="BA157:BH157"/>
    <mergeCell ref="A158:W158"/>
    <mergeCell ref="X158:AA158"/>
    <mergeCell ref="AB158:AF158"/>
    <mergeCell ref="AH158:AL158"/>
    <mergeCell ref="AM158:AN158"/>
    <mergeCell ref="AP158:AS158"/>
    <mergeCell ref="AT158:AU158"/>
    <mergeCell ref="AW158:AZ158"/>
    <mergeCell ref="BA158:BH158"/>
    <mergeCell ref="A159:W161"/>
    <mergeCell ref="X159:Z159"/>
    <mergeCell ref="AB159:AE159"/>
    <mergeCell ref="AF159:AJ159"/>
    <mergeCell ref="AL159:AP159"/>
    <mergeCell ref="BA159:BE159"/>
    <mergeCell ref="BF159:BH159"/>
    <mergeCell ref="X160:Z160"/>
    <mergeCell ref="AB160:AE160"/>
    <mergeCell ref="AF160:AJ160"/>
    <mergeCell ref="AL160:AP160"/>
    <mergeCell ref="BA160:BE160"/>
    <mergeCell ref="BF160:BH160"/>
    <mergeCell ref="X161:Z161"/>
    <mergeCell ref="AB161:AZ161"/>
    <mergeCell ref="BA161:BE161"/>
    <mergeCell ref="BF161:BH161"/>
    <mergeCell ref="A162:B162"/>
    <mergeCell ref="D162:H162"/>
    <mergeCell ref="R162:S162"/>
    <mergeCell ref="U162:W162"/>
    <mergeCell ref="X162:Z162"/>
    <mergeCell ref="AB162:AZ162"/>
    <mergeCell ref="BA162:BE162"/>
    <mergeCell ref="BF162:BH162"/>
    <mergeCell ref="A165:B165"/>
    <mergeCell ref="C165:BH165"/>
    <mergeCell ref="A166:B166"/>
    <mergeCell ref="C166:AZ166"/>
    <mergeCell ref="BA166:BH166"/>
    <mergeCell ref="A167:W167"/>
    <mergeCell ref="X167:AA167"/>
    <mergeCell ref="AB167:AF167"/>
    <mergeCell ref="AH167:AL167"/>
    <mergeCell ref="AM167:AN167"/>
    <mergeCell ref="AP167:AS167"/>
    <mergeCell ref="AT167:AU167"/>
    <mergeCell ref="AW167:AZ167"/>
    <mergeCell ref="BA167:BH167"/>
    <mergeCell ref="X168:Z168"/>
    <mergeCell ref="AB168:AS168"/>
    <mergeCell ref="AT168:AU168"/>
    <mergeCell ref="AW168:AZ168"/>
    <mergeCell ref="BA168:BE168"/>
    <mergeCell ref="BF168:BH168"/>
    <mergeCell ref="X169:Z169"/>
    <mergeCell ref="AB169:AZ169"/>
    <mergeCell ref="BA169:BE169"/>
    <mergeCell ref="BF169:BH169"/>
    <mergeCell ref="AW163:AY163"/>
    <mergeCell ref="BA163:BE163"/>
    <mergeCell ref="A164:W164"/>
    <mergeCell ref="AW164:AY164"/>
    <mergeCell ref="BA164:BE164"/>
    <mergeCell ref="BF164:BH164"/>
    <mergeCell ref="A168:W169"/>
    <mergeCell ref="A170:B170"/>
    <mergeCell ref="C170:AZ170"/>
    <mergeCell ref="BA170:BH170"/>
    <mergeCell ref="A171:W171"/>
    <mergeCell ref="X171:AA171"/>
    <mergeCell ref="AB171:AF171"/>
    <mergeCell ref="AH171:AL171"/>
    <mergeCell ref="AM171:AN171"/>
    <mergeCell ref="AP171:AS171"/>
    <mergeCell ref="AT171:AU171"/>
    <mergeCell ref="AW171:AZ171"/>
    <mergeCell ref="BA171:BH171"/>
    <mergeCell ref="A172:W173"/>
    <mergeCell ref="X173:Z173"/>
    <mergeCell ref="AB173:AS173"/>
    <mergeCell ref="AT172:AU172"/>
    <mergeCell ref="AW172:AZ172"/>
    <mergeCell ref="BA173:BE173"/>
    <mergeCell ref="BF173:BH173"/>
    <mergeCell ref="A175:B175"/>
    <mergeCell ref="D175:H175"/>
    <mergeCell ref="R175:S175"/>
    <mergeCell ref="U175:W175"/>
    <mergeCell ref="X175:Z175"/>
    <mergeCell ref="AB175:AZ175"/>
    <mergeCell ref="BA175:BE175"/>
    <mergeCell ref="BF175:BH175"/>
    <mergeCell ref="BF174:BH174"/>
    <mergeCell ref="AF174:AH174"/>
    <mergeCell ref="AJ174:AZ174"/>
    <mergeCell ref="X172:AN172"/>
    <mergeCell ref="AP172:AS172"/>
    <mergeCell ref="A176:B176"/>
    <mergeCell ref="C176:AZ176"/>
    <mergeCell ref="BA176:BH176"/>
    <mergeCell ref="A174:W174"/>
    <mergeCell ref="X174:Z174"/>
    <mergeCell ref="BA174:BE174"/>
    <mergeCell ref="A177:W177"/>
    <mergeCell ref="X177:AA177"/>
    <mergeCell ref="AB177:AF177"/>
    <mergeCell ref="AH177:AL177"/>
    <mergeCell ref="AM177:AN177"/>
    <mergeCell ref="AP177:AS177"/>
    <mergeCell ref="AT177:AU177"/>
    <mergeCell ref="AW177:AZ177"/>
    <mergeCell ref="BA177:BH177"/>
    <mergeCell ref="A178:W179"/>
    <mergeCell ref="X178:Z178"/>
    <mergeCell ref="AB178:AS178"/>
    <mergeCell ref="AT178:AU178"/>
    <mergeCell ref="AW178:AZ178"/>
    <mergeCell ref="BA178:BE178"/>
    <mergeCell ref="BF178:BH178"/>
    <mergeCell ref="X179:Z179"/>
    <mergeCell ref="AB179:AZ179"/>
    <mergeCell ref="BA179:BE179"/>
    <mergeCell ref="BF179:BH179"/>
    <mergeCell ref="A180:B180"/>
    <mergeCell ref="C180:AZ180"/>
    <mergeCell ref="BA180:BH180"/>
    <mergeCell ref="A181:W181"/>
    <mergeCell ref="X181:AA181"/>
    <mergeCell ref="AB181:AF181"/>
    <mergeCell ref="AH181:AL181"/>
    <mergeCell ref="AM181:AN181"/>
    <mergeCell ref="AP181:AS181"/>
    <mergeCell ref="AT181:AU181"/>
    <mergeCell ref="AW181:AZ181"/>
    <mergeCell ref="BA181:BH181"/>
    <mergeCell ref="A182:W183"/>
    <mergeCell ref="X182:Z182"/>
    <mergeCell ref="AB182:AS182"/>
    <mergeCell ref="AT182:AU182"/>
    <mergeCell ref="AW182:AZ182"/>
    <mergeCell ref="BA182:BE182"/>
    <mergeCell ref="BF182:BH182"/>
    <mergeCell ref="X183:Z183"/>
    <mergeCell ref="AB183:AZ183"/>
    <mergeCell ref="BA183:BE183"/>
    <mergeCell ref="BF183:BH183"/>
    <mergeCell ref="A184:B184"/>
    <mergeCell ref="C184:AZ184"/>
    <mergeCell ref="BA184:BH184"/>
    <mergeCell ref="A185:W185"/>
    <mergeCell ref="X185:AA185"/>
    <mergeCell ref="AB185:AF185"/>
    <mergeCell ref="AH185:AL185"/>
    <mergeCell ref="AM185:AN185"/>
    <mergeCell ref="AP185:AS185"/>
    <mergeCell ref="AT185:AU185"/>
    <mergeCell ref="AW185:AZ185"/>
    <mergeCell ref="BA185:BH185"/>
    <mergeCell ref="A186:W187"/>
    <mergeCell ref="X186:Z186"/>
    <mergeCell ref="AB186:AS186"/>
    <mergeCell ref="AT186:AU186"/>
    <mergeCell ref="AW186:AZ186"/>
    <mergeCell ref="BA186:BE186"/>
    <mergeCell ref="BF186:BH186"/>
    <mergeCell ref="X187:Z187"/>
    <mergeCell ref="AB187:AZ187"/>
    <mergeCell ref="BA187:BE187"/>
    <mergeCell ref="BF187:BH187"/>
    <mergeCell ref="A188:B188"/>
    <mergeCell ref="C188:AZ188"/>
    <mergeCell ref="BA188:BH188"/>
    <mergeCell ref="A189:W189"/>
    <mergeCell ref="X189:AA189"/>
    <mergeCell ref="AB189:AF189"/>
    <mergeCell ref="AH189:AL189"/>
    <mergeCell ref="AM189:AN189"/>
    <mergeCell ref="AP189:AS189"/>
    <mergeCell ref="AT189:AU189"/>
    <mergeCell ref="AW189:AZ189"/>
    <mergeCell ref="BA189:BH189"/>
    <mergeCell ref="A190:W191"/>
    <mergeCell ref="X190:AN190"/>
    <mergeCell ref="AP190:AS190"/>
    <mergeCell ref="AT190:AU190"/>
    <mergeCell ref="AW190:AZ190"/>
    <mergeCell ref="X191:Z191"/>
    <mergeCell ref="AB191:AS191"/>
    <mergeCell ref="BA191:BE191"/>
    <mergeCell ref="BF191:BH191"/>
    <mergeCell ref="X201:Z201"/>
    <mergeCell ref="AB201:AZ201"/>
    <mergeCell ref="BA201:BE201"/>
    <mergeCell ref="BF201:BH201"/>
    <mergeCell ref="A192:W192"/>
    <mergeCell ref="X192:Z192"/>
    <mergeCell ref="AF192:AH192"/>
    <mergeCell ref="AJ192:AZ192"/>
    <mergeCell ref="BA192:BE192"/>
    <mergeCell ref="BF192:BH192"/>
    <mergeCell ref="A193:B193"/>
    <mergeCell ref="D193:H193"/>
    <mergeCell ref="R193:S193"/>
    <mergeCell ref="U193:W193"/>
    <mergeCell ref="X193:Z193"/>
    <mergeCell ref="AB193:AZ193"/>
    <mergeCell ref="BA193:BE193"/>
    <mergeCell ref="BF193:BH193"/>
    <mergeCell ref="A196:B196"/>
    <mergeCell ref="C196:BH196"/>
    <mergeCell ref="AH202:AJ202"/>
    <mergeCell ref="AH203:AJ203"/>
    <mergeCell ref="AB202:AD202"/>
    <mergeCell ref="AB203:AD203"/>
    <mergeCell ref="A197:B197"/>
    <mergeCell ref="C197:AZ197"/>
    <mergeCell ref="BA197:BH197"/>
    <mergeCell ref="A198:W198"/>
    <mergeCell ref="X198:AA198"/>
    <mergeCell ref="AB198:AF198"/>
    <mergeCell ref="AH198:AL198"/>
    <mergeCell ref="AM198:AN198"/>
    <mergeCell ref="AP198:AS198"/>
    <mergeCell ref="AT198:AU198"/>
    <mergeCell ref="AW198:AZ198"/>
    <mergeCell ref="BA198:BH198"/>
    <mergeCell ref="A199:W201"/>
    <mergeCell ref="X199:Z199"/>
    <mergeCell ref="AB199:AE199"/>
    <mergeCell ref="AF199:AJ199"/>
    <mergeCell ref="AL199:AP199"/>
    <mergeCell ref="AQ199:AR199"/>
    <mergeCell ref="AS199:AU199"/>
    <mergeCell ref="AW199:AZ199"/>
    <mergeCell ref="BA199:BE199"/>
    <mergeCell ref="BF199:BH199"/>
    <mergeCell ref="X200:Z200"/>
    <mergeCell ref="AB200:AE200"/>
    <mergeCell ref="AF200:AJ200"/>
    <mergeCell ref="AL200:AP200"/>
    <mergeCell ref="BA200:BE200"/>
    <mergeCell ref="BF200:BH200"/>
    <mergeCell ref="A195:W195"/>
    <mergeCell ref="AW195:AY195"/>
    <mergeCell ref="BA195:BE195"/>
    <mergeCell ref="BF195:BH195"/>
    <mergeCell ref="AW219:AY219"/>
    <mergeCell ref="BA219:BE219"/>
    <mergeCell ref="A210:W210"/>
    <mergeCell ref="X210:Z210"/>
    <mergeCell ref="AE210:AF210"/>
    <mergeCell ref="AK210:AL210"/>
    <mergeCell ref="AN210:AY210"/>
    <mergeCell ref="BA210:BE210"/>
    <mergeCell ref="A211:W211"/>
    <mergeCell ref="X211:Z211"/>
    <mergeCell ref="AE211:AF211"/>
    <mergeCell ref="AK211:AL211"/>
    <mergeCell ref="AN211:AY211"/>
    <mergeCell ref="A202:W202"/>
    <mergeCell ref="X202:Z202"/>
    <mergeCell ref="AE202:AF202"/>
    <mergeCell ref="AK202:AL202"/>
    <mergeCell ref="AN202:AY202"/>
    <mergeCell ref="BA202:BE202"/>
    <mergeCell ref="A203:W203"/>
    <mergeCell ref="X203:Z203"/>
    <mergeCell ref="AE203:AF203"/>
    <mergeCell ref="AK203:AL203"/>
    <mergeCell ref="AN203:AY203"/>
    <mergeCell ref="BA203:BE203"/>
    <mergeCell ref="X204:Z204"/>
    <mergeCell ref="AB204:AZ204"/>
    <mergeCell ref="BA204:BE204"/>
    <mergeCell ref="BA225:BE225"/>
    <mergeCell ref="BF225:BH225"/>
    <mergeCell ref="X226:Z226"/>
    <mergeCell ref="AB226:AZ226"/>
    <mergeCell ref="BA226:BE226"/>
    <mergeCell ref="BF226:BH226"/>
    <mergeCell ref="A220:W220"/>
    <mergeCell ref="AW220:AY220"/>
    <mergeCell ref="BA220:BE220"/>
    <mergeCell ref="BF220:BH220"/>
    <mergeCell ref="A221:B221"/>
    <mergeCell ref="C221:BH221"/>
    <mergeCell ref="A222:B222"/>
    <mergeCell ref="C222:AZ222"/>
    <mergeCell ref="BA222:BH222"/>
    <mergeCell ref="A223:W223"/>
    <mergeCell ref="X223:AA223"/>
    <mergeCell ref="AB223:AF223"/>
    <mergeCell ref="AH223:AL223"/>
    <mergeCell ref="AM223:AN223"/>
    <mergeCell ref="AP223:AS223"/>
    <mergeCell ref="AT223:AU223"/>
    <mergeCell ref="AW223:AZ223"/>
    <mergeCell ref="BA223:BH223"/>
    <mergeCell ref="AL232:AP232"/>
    <mergeCell ref="AQ232:AR232"/>
    <mergeCell ref="AS232:AU232"/>
    <mergeCell ref="AW232:AZ232"/>
    <mergeCell ref="BA232:BE232"/>
    <mergeCell ref="BF232:BH232"/>
    <mergeCell ref="X233:Z233"/>
    <mergeCell ref="AB233:AE233"/>
    <mergeCell ref="AF233:AJ233"/>
    <mergeCell ref="AL233:AP233"/>
    <mergeCell ref="BA233:BE233"/>
    <mergeCell ref="A227:W227"/>
    <mergeCell ref="X227:Z227"/>
    <mergeCell ref="AK227:AL227"/>
    <mergeCell ref="AN227:AY227"/>
    <mergeCell ref="BA227:BE227"/>
    <mergeCell ref="A228:W228"/>
    <mergeCell ref="X228:Z228"/>
    <mergeCell ref="AE228:AF228"/>
    <mergeCell ref="AK228:AL228"/>
    <mergeCell ref="AN228:AY228"/>
    <mergeCell ref="BA228:BE228"/>
    <mergeCell ref="X229:Z229"/>
    <mergeCell ref="AB229:AZ229"/>
    <mergeCell ref="BA229:BE229"/>
    <mergeCell ref="BF249:BH249"/>
    <mergeCell ref="X250:Z250"/>
    <mergeCell ref="AB250:AE250"/>
    <mergeCell ref="AF250:AJ250"/>
    <mergeCell ref="AL250:AP250"/>
    <mergeCell ref="BA250:BE250"/>
    <mergeCell ref="BF250:BH250"/>
    <mergeCell ref="X251:Z251"/>
    <mergeCell ref="AB251:AZ251"/>
    <mergeCell ref="BA251:BE251"/>
    <mergeCell ref="BF251:BH251"/>
    <mergeCell ref="BF229:BH229"/>
    <mergeCell ref="A230:B230"/>
    <mergeCell ref="D230:H230"/>
    <mergeCell ref="R230:S230"/>
    <mergeCell ref="U230:W230"/>
    <mergeCell ref="X230:Z230"/>
    <mergeCell ref="AB230:AZ230"/>
    <mergeCell ref="BA230:BE230"/>
    <mergeCell ref="BF230:BH230"/>
    <mergeCell ref="AW244:AY244"/>
    <mergeCell ref="BA244:BE244"/>
    <mergeCell ref="A245:W245"/>
    <mergeCell ref="AW245:AY245"/>
    <mergeCell ref="BA245:BE245"/>
    <mergeCell ref="BF245:BH245"/>
    <mergeCell ref="A246:B246"/>
    <mergeCell ref="C246:BH246"/>
    <mergeCell ref="A232:W234"/>
    <mergeCell ref="X232:Z232"/>
    <mergeCell ref="AB232:AE232"/>
    <mergeCell ref="AF232:AJ232"/>
    <mergeCell ref="AN252:AY252"/>
    <mergeCell ref="BA252:BE252"/>
    <mergeCell ref="A253:W253"/>
    <mergeCell ref="X253:Z253"/>
    <mergeCell ref="AE253:AF253"/>
    <mergeCell ref="AK253:AL253"/>
    <mergeCell ref="AN253:AY253"/>
    <mergeCell ref="BA253:BE253"/>
    <mergeCell ref="X254:Z254"/>
    <mergeCell ref="AB254:AZ254"/>
    <mergeCell ref="BA254:BE254"/>
    <mergeCell ref="A247:B247"/>
    <mergeCell ref="C247:AZ247"/>
    <mergeCell ref="BA247:BH247"/>
    <mergeCell ref="A248:W248"/>
    <mergeCell ref="X248:AA248"/>
    <mergeCell ref="AB248:AF248"/>
    <mergeCell ref="AH248:AL248"/>
    <mergeCell ref="AM248:AN248"/>
    <mergeCell ref="AP248:AS248"/>
    <mergeCell ref="AT248:AU248"/>
    <mergeCell ref="AW248:AZ248"/>
    <mergeCell ref="BA248:BH248"/>
    <mergeCell ref="A249:W251"/>
    <mergeCell ref="X249:Z249"/>
    <mergeCell ref="AB249:AE249"/>
    <mergeCell ref="AF249:AJ249"/>
    <mergeCell ref="AL249:AP249"/>
    <mergeCell ref="AQ249:AR249"/>
    <mergeCell ref="AS249:AU249"/>
    <mergeCell ref="AW249:AZ249"/>
    <mergeCell ref="BA249:BE249"/>
    <mergeCell ref="AW269:AY269"/>
    <mergeCell ref="BA269:BE269"/>
    <mergeCell ref="A270:W270"/>
    <mergeCell ref="AW270:AY270"/>
    <mergeCell ref="BA270:BE270"/>
    <mergeCell ref="BF270:BH270"/>
    <mergeCell ref="A271:B271"/>
    <mergeCell ref="C271:BH271"/>
    <mergeCell ref="A257:W259"/>
    <mergeCell ref="X257:Z257"/>
    <mergeCell ref="AB257:AE257"/>
    <mergeCell ref="AF257:AJ257"/>
    <mergeCell ref="AL257:AP257"/>
    <mergeCell ref="AQ257:AR257"/>
    <mergeCell ref="AS257:AU257"/>
    <mergeCell ref="AW257:AZ257"/>
    <mergeCell ref="BA257:BE257"/>
    <mergeCell ref="BF257:BH257"/>
    <mergeCell ref="X258:Z258"/>
    <mergeCell ref="AB258:AE258"/>
    <mergeCell ref="AF258:AJ258"/>
    <mergeCell ref="AL258:AP258"/>
    <mergeCell ref="BA258:BE258"/>
    <mergeCell ref="BF258:BH258"/>
    <mergeCell ref="X259:Z259"/>
    <mergeCell ref="AB259:AZ259"/>
    <mergeCell ref="BA259:BE259"/>
    <mergeCell ref="BF259:BH259"/>
    <mergeCell ref="A260:W260"/>
    <mergeCell ref="X260:Z260"/>
    <mergeCell ref="AE260:AF260"/>
    <mergeCell ref="A273:W273"/>
    <mergeCell ref="X273:AA273"/>
    <mergeCell ref="AB273:AF273"/>
    <mergeCell ref="AH273:AL273"/>
    <mergeCell ref="AM273:AN273"/>
    <mergeCell ref="AP273:AS273"/>
    <mergeCell ref="AT273:AU273"/>
    <mergeCell ref="AW273:AZ273"/>
    <mergeCell ref="BA273:BH273"/>
    <mergeCell ref="A274:W276"/>
    <mergeCell ref="X274:Z274"/>
    <mergeCell ref="AB274:AE274"/>
    <mergeCell ref="AF274:AJ274"/>
    <mergeCell ref="AL274:AP274"/>
    <mergeCell ref="AQ274:AR274"/>
    <mergeCell ref="AS274:AU274"/>
    <mergeCell ref="AW274:AZ274"/>
    <mergeCell ref="BA274:BE274"/>
    <mergeCell ref="BF274:BH274"/>
    <mergeCell ref="X275:Z275"/>
    <mergeCell ref="AB275:AE275"/>
    <mergeCell ref="AF275:AJ275"/>
    <mergeCell ref="AL275:AP275"/>
    <mergeCell ref="BA275:BE275"/>
    <mergeCell ref="BF275:BH275"/>
    <mergeCell ref="X276:Z276"/>
    <mergeCell ref="AB276:AZ276"/>
    <mergeCell ref="BA276:BE276"/>
    <mergeCell ref="BF276:BH276"/>
    <mergeCell ref="A103:W103"/>
    <mergeCell ref="X103:Z103"/>
    <mergeCell ref="BF279:BH279"/>
    <mergeCell ref="A280:B280"/>
    <mergeCell ref="D280:H280"/>
    <mergeCell ref="R280:S280"/>
    <mergeCell ref="U280:W280"/>
    <mergeCell ref="X280:Z280"/>
    <mergeCell ref="AB280:AZ280"/>
    <mergeCell ref="BA280:BE280"/>
    <mergeCell ref="BF280:BH280"/>
    <mergeCell ref="AW294:AY294"/>
    <mergeCell ref="BA294:BE294"/>
    <mergeCell ref="A295:W295"/>
    <mergeCell ref="AW295:AY295"/>
    <mergeCell ref="BA295:BE295"/>
    <mergeCell ref="BF295:BH295"/>
    <mergeCell ref="A277:W277"/>
    <mergeCell ref="X277:Z277"/>
    <mergeCell ref="AE277:AF277"/>
    <mergeCell ref="AK277:AL277"/>
    <mergeCell ref="AN277:AY277"/>
    <mergeCell ref="BA277:BE277"/>
    <mergeCell ref="A278:W278"/>
    <mergeCell ref="X278:Z278"/>
    <mergeCell ref="AE278:AF278"/>
    <mergeCell ref="AK278:AL278"/>
    <mergeCell ref="AN278:AY278"/>
    <mergeCell ref="BA278:BE278"/>
    <mergeCell ref="X279:Z279"/>
    <mergeCell ref="AB279:AZ279"/>
    <mergeCell ref="BA279:BE279"/>
    <mergeCell ref="A99:W99"/>
    <mergeCell ref="X99:AA99"/>
    <mergeCell ref="AB99:AF99"/>
    <mergeCell ref="AH99:AL99"/>
    <mergeCell ref="AM99:AN99"/>
    <mergeCell ref="AP99:AS99"/>
    <mergeCell ref="AT99:AU99"/>
    <mergeCell ref="AW99:AZ99"/>
    <mergeCell ref="BA99:BH99"/>
    <mergeCell ref="A100:W102"/>
    <mergeCell ref="X100:Z100"/>
    <mergeCell ref="AB100:AE100"/>
    <mergeCell ref="AF100:AJ100"/>
    <mergeCell ref="AL100:AP100"/>
    <mergeCell ref="AQ100:AR100"/>
    <mergeCell ref="AW100:AZ100"/>
    <mergeCell ref="BA100:BE100"/>
    <mergeCell ref="BF100:BH100"/>
    <mergeCell ref="X101:Z101"/>
    <mergeCell ref="AB101:AE101"/>
    <mergeCell ref="AF101:AJ101"/>
    <mergeCell ref="AL101:AP101"/>
    <mergeCell ref="BA101:BE101"/>
    <mergeCell ref="BF101:BH101"/>
    <mergeCell ref="X102:Z102"/>
    <mergeCell ref="AB102:AZ102"/>
    <mergeCell ref="BA102:BE102"/>
    <mergeCell ref="BF102:BH102"/>
    <mergeCell ref="AS100:AU100"/>
    <mergeCell ref="A106:B106"/>
    <mergeCell ref="D106:H106"/>
    <mergeCell ref="R106:S106"/>
    <mergeCell ref="U106:W106"/>
    <mergeCell ref="X106:Z106"/>
    <mergeCell ref="AB106:AZ106"/>
    <mergeCell ref="BA106:BE106"/>
    <mergeCell ref="BF106:BH106"/>
    <mergeCell ref="A107:W107"/>
    <mergeCell ref="X107:AA107"/>
    <mergeCell ref="AB107:AF107"/>
    <mergeCell ref="AH107:AL107"/>
    <mergeCell ref="AM107:AN107"/>
    <mergeCell ref="AP107:AS107"/>
    <mergeCell ref="AT107:AU107"/>
    <mergeCell ref="AW107:AZ107"/>
    <mergeCell ref="BA107:BH107"/>
    <mergeCell ref="I106:N106"/>
    <mergeCell ref="A111:B111"/>
    <mergeCell ref="D111:H111"/>
    <mergeCell ref="R111:S111"/>
    <mergeCell ref="U111:W111"/>
    <mergeCell ref="X111:Z111"/>
    <mergeCell ref="AB111:AZ111"/>
    <mergeCell ref="BA111:BE111"/>
    <mergeCell ref="BF111:BH111"/>
    <mergeCell ref="I111:N111"/>
    <mergeCell ref="BA108:BE108"/>
    <mergeCell ref="BF108:BH108"/>
    <mergeCell ref="X109:Z109"/>
    <mergeCell ref="AB109:AE109"/>
    <mergeCell ref="AF109:AJ109"/>
    <mergeCell ref="AL109:AP109"/>
    <mergeCell ref="BA109:BE109"/>
    <mergeCell ref="BF109:BH109"/>
    <mergeCell ref="X110:Z110"/>
    <mergeCell ref="AB110:AZ110"/>
    <mergeCell ref="BA110:BE110"/>
    <mergeCell ref="BF110:BH110"/>
    <mergeCell ref="A121:W121"/>
    <mergeCell ref="X121:AA121"/>
    <mergeCell ref="AB121:AF121"/>
    <mergeCell ref="AH121:AL121"/>
    <mergeCell ref="AM121:AN121"/>
    <mergeCell ref="AP121:AS121"/>
    <mergeCell ref="AT121:AU121"/>
    <mergeCell ref="AW121:AZ121"/>
    <mergeCell ref="BA121:BH121"/>
    <mergeCell ref="A122:W124"/>
    <mergeCell ref="X122:Z122"/>
    <mergeCell ref="AB122:AE122"/>
    <mergeCell ref="AL122:AP122"/>
    <mergeCell ref="BA122:BE122"/>
    <mergeCell ref="BF122:BH122"/>
    <mergeCell ref="X123:Z123"/>
    <mergeCell ref="AB123:AE123"/>
    <mergeCell ref="AL123:AP123"/>
    <mergeCell ref="BA123:BE123"/>
    <mergeCell ref="BF123:BH123"/>
    <mergeCell ref="X124:Z124"/>
    <mergeCell ref="AB124:AZ124"/>
    <mergeCell ref="BA124:BE124"/>
    <mergeCell ref="BF124:BH124"/>
    <mergeCell ref="A125:B125"/>
    <mergeCell ref="D125:H125"/>
    <mergeCell ref="I125:N125"/>
    <mergeCell ref="R125:S125"/>
    <mergeCell ref="U125:W125"/>
    <mergeCell ref="X125:Z125"/>
    <mergeCell ref="AB125:AZ125"/>
    <mergeCell ref="BA125:BE125"/>
    <mergeCell ref="BF125:BH125"/>
    <mergeCell ref="A206:W206"/>
    <mergeCell ref="X206:AA206"/>
    <mergeCell ref="AB206:AF206"/>
    <mergeCell ref="AH206:AL206"/>
    <mergeCell ref="AM206:AN206"/>
    <mergeCell ref="AP206:AS206"/>
    <mergeCell ref="AT206:AU206"/>
    <mergeCell ref="AW206:AZ206"/>
    <mergeCell ref="BA206:BH206"/>
    <mergeCell ref="AB192:AE192"/>
    <mergeCell ref="BA172:BH172"/>
    <mergeCell ref="BA190:BH190"/>
    <mergeCell ref="BF204:BH204"/>
    <mergeCell ref="A205:B205"/>
    <mergeCell ref="D205:H205"/>
    <mergeCell ref="R205:S205"/>
    <mergeCell ref="U205:W205"/>
    <mergeCell ref="X205:Z205"/>
    <mergeCell ref="AB205:AZ205"/>
    <mergeCell ref="BA205:BE205"/>
    <mergeCell ref="BF205:BH205"/>
    <mergeCell ref="AW194:AY194"/>
    <mergeCell ref="BA194:BE194"/>
    <mergeCell ref="A207:W209"/>
    <mergeCell ref="X207:Z207"/>
    <mergeCell ref="AB207:AE207"/>
    <mergeCell ref="AF207:AJ207"/>
    <mergeCell ref="AL207:AP207"/>
    <mergeCell ref="AQ207:AR207"/>
    <mergeCell ref="AS207:AU207"/>
    <mergeCell ref="AW207:AZ207"/>
    <mergeCell ref="BA207:BE207"/>
    <mergeCell ref="BF207:BH207"/>
    <mergeCell ref="X208:Z208"/>
    <mergeCell ref="AB208:AE208"/>
    <mergeCell ref="AF208:AJ208"/>
    <mergeCell ref="AL208:AP208"/>
    <mergeCell ref="BA208:BE208"/>
    <mergeCell ref="BF208:BH208"/>
    <mergeCell ref="X209:Z209"/>
    <mergeCell ref="AB209:AZ209"/>
    <mergeCell ref="BA209:BE209"/>
    <mergeCell ref="BF209:BH209"/>
    <mergeCell ref="BA211:BE211"/>
    <mergeCell ref="X212:Z212"/>
    <mergeCell ref="AB212:AZ212"/>
    <mergeCell ref="BA212:BE212"/>
    <mergeCell ref="BF212:BH212"/>
    <mergeCell ref="A213:B213"/>
    <mergeCell ref="D213:H213"/>
    <mergeCell ref="I213:N213"/>
    <mergeCell ref="R213:S213"/>
    <mergeCell ref="U213:W213"/>
    <mergeCell ref="X213:Z213"/>
    <mergeCell ref="AB213:AZ213"/>
    <mergeCell ref="BA213:BE213"/>
    <mergeCell ref="BF213:BH213"/>
    <mergeCell ref="A214:W214"/>
    <mergeCell ref="X214:AA214"/>
    <mergeCell ref="AB214:AF214"/>
    <mergeCell ref="AH214:AL214"/>
    <mergeCell ref="AM214:AN214"/>
    <mergeCell ref="AP214:AS214"/>
    <mergeCell ref="AT214:AU214"/>
    <mergeCell ref="AW214:AZ214"/>
    <mergeCell ref="BA214:BH214"/>
    <mergeCell ref="A215:W217"/>
    <mergeCell ref="X215:Z215"/>
    <mergeCell ref="AB215:AE215"/>
    <mergeCell ref="AF215:AJ215"/>
    <mergeCell ref="AL215:AP215"/>
    <mergeCell ref="AQ215:AR215"/>
    <mergeCell ref="AS215:AU215"/>
    <mergeCell ref="AW215:AZ215"/>
    <mergeCell ref="BA215:BE215"/>
    <mergeCell ref="BF215:BH215"/>
    <mergeCell ref="X216:Z216"/>
    <mergeCell ref="AB216:AE216"/>
    <mergeCell ref="AF216:AJ216"/>
    <mergeCell ref="AL216:AP216"/>
    <mergeCell ref="BA216:BE216"/>
    <mergeCell ref="BF216:BH216"/>
    <mergeCell ref="X217:Z217"/>
    <mergeCell ref="AB217:AZ217"/>
    <mergeCell ref="BA217:BE217"/>
    <mergeCell ref="BF217:BH217"/>
    <mergeCell ref="A218:B218"/>
    <mergeCell ref="D218:H218"/>
    <mergeCell ref="I218:N218"/>
    <mergeCell ref="R218:S218"/>
    <mergeCell ref="U218:W218"/>
    <mergeCell ref="X218:Z218"/>
    <mergeCell ref="AB218:AZ218"/>
    <mergeCell ref="BA218:BE218"/>
    <mergeCell ref="BF218:BH218"/>
    <mergeCell ref="A231:W231"/>
    <mergeCell ref="X231:AA231"/>
    <mergeCell ref="AB231:AF231"/>
    <mergeCell ref="AH231:AL231"/>
    <mergeCell ref="AM231:AN231"/>
    <mergeCell ref="AP231:AS231"/>
    <mergeCell ref="AT231:AU231"/>
    <mergeCell ref="AW231:AZ231"/>
    <mergeCell ref="BA231:BH231"/>
    <mergeCell ref="A224:W226"/>
    <mergeCell ref="X224:Z224"/>
    <mergeCell ref="AB224:AE224"/>
    <mergeCell ref="AF224:AJ224"/>
    <mergeCell ref="AL224:AP224"/>
    <mergeCell ref="AQ224:AR224"/>
    <mergeCell ref="AS224:AU224"/>
    <mergeCell ref="AW224:AZ224"/>
    <mergeCell ref="BA224:BE224"/>
    <mergeCell ref="BF224:BH224"/>
    <mergeCell ref="X225:Z225"/>
    <mergeCell ref="AB225:AE225"/>
    <mergeCell ref="AF225:AJ225"/>
    <mergeCell ref="AL225:AP225"/>
    <mergeCell ref="BF242:BH242"/>
    <mergeCell ref="A243:B243"/>
    <mergeCell ref="D243:H243"/>
    <mergeCell ref="I243:N243"/>
    <mergeCell ref="R243:S243"/>
    <mergeCell ref="U243:W243"/>
    <mergeCell ref="X243:Z243"/>
    <mergeCell ref="AB243:AZ243"/>
    <mergeCell ref="BA243:BE243"/>
    <mergeCell ref="BF243:BH243"/>
    <mergeCell ref="A256:W256"/>
    <mergeCell ref="X256:AA256"/>
    <mergeCell ref="AB256:AF256"/>
    <mergeCell ref="AH256:AL256"/>
    <mergeCell ref="AM256:AN256"/>
    <mergeCell ref="AP256:AS256"/>
    <mergeCell ref="AT256:AU256"/>
    <mergeCell ref="AW256:AZ256"/>
    <mergeCell ref="BA256:BH256"/>
    <mergeCell ref="BF254:BH254"/>
    <mergeCell ref="A255:B255"/>
    <mergeCell ref="D255:H255"/>
    <mergeCell ref="R255:S255"/>
    <mergeCell ref="U255:W255"/>
    <mergeCell ref="X255:Z255"/>
    <mergeCell ref="AB255:AZ255"/>
    <mergeCell ref="BA255:BE255"/>
    <mergeCell ref="BF255:BH255"/>
    <mergeCell ref="A252:W252"/>
    <mergeCell ref="X252:Z252"/>
    <mergeCell ref="AE252:AF252"/>
    <mergeCell ref="AK252:AL252"/>
    <mergeCell ref="A285:W285"/>
    <mergeCell ref="X285:Z285"/>
    <mergeCell ref="AE285:AF285"/>
    <mergeCell ref="AN285:AY285"/>
    <mergeCell ref="BA285:BE285"/>
    <mergeCell ref="AN261:AY261"/>
    <mergeCell ref="BA261:BE261"/>
    <mergeCell ref="X262:Z262"/>
    <mergeCell ref="AB262:AZ262"/>
    <mergeCell ref="BA262:BE262"/>
    <mergeCell ref="BF262:BH262"/>
    <mergeCell ref="A263:B263"/>
    <mergeCell ref="D263:H263"/>
    <mergeCell ref="I263:N263"/>
    <mergeCell ref="R263:S263"/>
    <mergeCell ref="U263:W263"/>
    <mergeCell ref="X263:Z263"/>
    <mergeCell ref="AB263:AZ263"/>
    <mergeCell ref="BA263:BE263"/>
    <mergeCell ref="BF263:BH263"/>
    <mergeCell ref="A264:W264"/>
    <mergeCell ref="X264:AA264"/>
    <mergeCell ref="AB264:AF264"/>
    <mergeCell ref="AH264:AL264"/>
    <mergeCell ref="AM264:AN264"/>
    <mergeCell ref="AP264:AS264"/>
    <mergeCell ref="AT264:AU264"/>
    <mergeCell ref="AW264:AZ264"/>
    <mergeCell ref="BA264:BH264"/>
    <mergeCell ref="A272:B272"/>
    <mergeCell ref="C272:AZ272"/>
    <mergeCell ref="BA272:BH272"/>
    <mergeCell ref="X289:AA289"/>
    <mergeCell ref="AB289:AF289"/>
    <mergeCell ref="AH289:AL289"/>
    <mergeCell ref="AM289:AN289"/>
    <mergeCell ref="AP289:AS289"/>
    <mergeCell ref="AT289:AU289"/>
    <mergeCell ref="AW289:AZ289"/>
    <mergeCell ref="BA289:BH289"/>
    <mergeCell ref="X283:Z283"/>
    <mergeCell ref="AB283:AE283"/>
    <mergeCell ref="AF283:AJ283"/>
    <mergeCell ref="AL283:AP283"/>
    <mergeCell ref="BA283:BE283"/>
    <mergeCell ref="BF283:BH283"/>
    <mergeCell ref="X284:Z284"/>
    <mergeCell ref="AB284:AZ284"/>
    <mergeCell ref="BA284:BE284"/>
    <mergeCell ref="BF284:BH284"/>
    <mergeCell ref="AK285:AL285"/>
    <mergeCell ref="AB291:AE291"/>
    <mergeCell ref="AL291:AP291"/>
    <mergeCell ref="BA291:BE291"/>
    <mergeCell ref="BF291:BH291"/>
    <mergeCell ref="X292:Z292"/>
    <mergeCell ref="AB292:AZ292"/>
    <mergeCell ref="BA292:BE292"/>
    <mergeCell ref="BF292:BH292"/>
    <mergeCell ref="A293:B293"/>
    <mergeCell ref="D293:H293"/>
    <mergeCell ref="I293:N293"/>
    <mergeCell ref="R293:S293"/>
    <mergeCell ref="U293:W293"/>
    <mergeCell ref="X293:Z293"/>
    <mergeCell ref="AB293:AZ293"/>
    <mergeCell ref="BA293:BE293"/>
    <mergeCell ref="BF293:BH293"/>
    <mergeCell ref="A290:W292"/>
    <mergeCell ref="X290:Z290"/>
    <mergeCell ref="AB290:AE290"/>
    <mergeCell ref="AL290:AP290"/>
    <mergeCell ref="BK307:BL307"/>
    <mergeCell ref="A308:AI308"/>
    <mergeCell ref="AK308:AM308"/>
    <mergeCell ref="AO308:AS308"/>
    <mergeCell ref="AW308:AY308"/>
    <mergeCell ref="BA308:BE308"/>
    <mergeCell ref="BF308:BH308"/>
    <mergeCell ref="BK308:BL308"/>
    <mergeCell ref="BK309:BL309"/>
    <mergeCell ref="A303:AI303"/>
    <mergeCell ref="AK303:AM303"/>
    <mergeCell ref="AO303:AS303"/>
    <mergeCell ref="AW303:AY303"/>
    <mergeCell ref="BA303:BE303"/>
    <mergeCell ref="BF303:BH303"/>
    <mergeCell ref="AK309:AM309"/>
    <mergeCell ref="AO309:AS309"/>
    <mergeCell ref="A304:AI304"/>
    <mergeCell ref="AK304:AM304"/>
    <mergeCell ref="AO304:AS304"/>
    <mergeCell ref="AW304:AY304"/>
    <mergeCell ref="BA304:BE304"/>
    <mergeCell ref="BF304:BH304"/>
    <mergeCell ref="BK304:BL304"/>
    <mergeCell ref="A305:AI305"/>
    <mergeCell ref="BK305:BL305"/>
    <mergeCell ref="A309:AI309"/>
    <mergeCell ref="BK303:BL303"/>
    <mergeCell ref="AW309:AY309"/>
    <mergeCell ref="BA309:BE309"/>
    <mergeCell ref="BF309:BH309"/>
    <mergeCell ref="BK306:BL306"/>
    <mergeCell ref="X300:Z300"/>
    <mergeCell ref="AB300:AZ300"/>
    <mergeCell ref="BA300:BE300"/>
    <mergeCell ref="BF300:BH300"/>
    <mergeCell ref="AW301:AY301"/>
    <mergeCell ref="BA301:BE301"/>
    <mergeCell ref="X298:AL298"/>
    <mergeCell ref="AN298:AS298"/>
    <mergeCell ref="A306:AI306"/>
    <mergeCell ref="AK306:AM306"/>
    <mergeCell ref="AO306:AS306"/>
    <mergeCell ref="AW306:AY306"/>
    <mergeCell ref="BA306:BE306"/>
    <mergeCell ref="BF306:BH306"/>
    <mergeCell ref="AK305:AM305"/>
    <mergeCell ref="AO305:AS305"/>
    <mergeCell ref="AW305:AY305"/>
    <mergeCell ref="BA305:BE305"/>
    <mergeCell ref="BF305:BH305"/>
    <mergeCell ref="A302:W302"/>
    <mergeCell ref="AW302:AY302"/>
    <mergeCell ref="BA302:BE302"/>
    <mergeCell ref="BF302:BH302"/>
    <mergeCell ref="AB103:AD103"/>
    <mergeCell ref="AH103:AJ103"/>
    <mergeCell ref="AB104:AD104"/>
    <mergeCell ref="AH104:AJ104"/>
    <mergeCell ref="AH141:AJ141"/>
    <mergeCell ref="AH142:AJ142"/>
    <mergeCell ref="AB141:AD141"/>
    <mergeCell ref="AB142:AD142"/>
    <mergeCell ref="AB174:AE174"/>
    <mergeCell ref="AT298:AU298"/>
    <mergeCell ref="AW298:AZ298"/>
    <mergeCell ref="BA298:BH298"/>
    <mergeCell ref="AB287:AZ287"/>
    <mergeCell ref="BA287:BE287"/>
    <mergeCell ref="BF287:BH287"/>
    <mergeCell ref="A288:B288"/>
    <mergeCell ref="D288:H288"/>
    <mergeCell ref="I288:N288"/>
    <mergeCell ref="R288:S288"/>
    <mergeCell ref="U288:W288"/>
    <mergeCell ref="X288:Z288"/>
    <mergeCell ref="AB288:AZ288"/>
    <mergeCell ref="BA288:BE288"/>
    <mergeCell ref="BF288:BH288"/>
    <mergeCell ref="A289:W289"/>
    <mergeCell ref="AH260:AJ260"/>
    <mergeCell ref="AH261:AJ261"/>
    <mergeCell ref="AB260:AD260"/>
    <mergeCell ref="AB261:AD261"/>
    <mergeCell ref="AH277:AJ277"/>
    <mergeCell ref="AH278:AJ278"/>
    <mergeCell ref="AB277:AD277"/>
    <mergeCell ref="AB278:AD278"/>
    <mergeCell ref="AH285:AJ285"/>
    <mergeCell ref="AH286:AJ286"/>
    <mergeCell ref="AB285:AD285"/>
    <mergeCell ref="AB286:AD286"/>
    <mergeCell ref="AH210:AJ210"/>
    <mergeCell ref="AH211:AJ211"/>
    <mergeCell ref="AB210:AD210"/>
    <mergeCell ref="AB211:AD211"/>
    <mergeCell ref="AH227:AJ227"/>
    <mergeCell ref="AH228:AJ228"/>
    <mergeCell ref="AE227:AF227"/>
    <mergeCell ref="AB227:AD227"/>
    <mergeCell ref="AB228:AD228"/>
    <mergeCell ref="AH235:AJ235"/>
    <mergeCell ref="AH236:AJ236"/>
    <mergeCell ref="AB235:AD235"/>
    <mergeCell ref="AB236:AD236"/>
    <mergeCell ref="AH252:AJ252"/>
    <mergeCell ref="AH253:AJ253"/>
    <mergeCell ref="AB252:AD252"/>
    <mergeCell ref="AB253:AD253"/>
    <mergeCell ref="AE236:AF236"/>
  </mergeCells>
  <pageMargins left="1.1417322834645669" right="0.39370078740157483" top="0.78740157480314965" bottom="0.78740157480314965" header="0.31496062992125984" footer="0.31496062992125984"/>
  <pageSetup paperSize="9" fitToWidth="0" fitToHeight="0" orientation="portrait" r:id="rId1"/>
  <headerFooter differentFirst="1">
    <oddHeader>&amp;C&amp;P</oddHeader>
  </headerFooter>
  <rowBreaks count="5" manualBreakCount="5">
    <brk id="31" max="59" man="1"/>
    <brk id="88" max="59" man="1"/>
    <brk id="144" max="59" man="1"/>
    <brk id="205" max="59" man="1"/>
    <brk id="263" max="5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3"/>
  <sheetViews>
    <sheetView tabSelected="1" zoomScale="115" zoomScaleNormal="115" zoomScaleSheetLayoutView="85" workbookViewId="0">
      <selection activeCell="H14" sqref="H14"/>
    </sheetView>
  </sheetViews>
  <sheetFormatPr defaultRowHeight="12.75" x14ac:dyDescent="0.2"/>
  <cols>
    <col min="1" max="1" width="3.42578125" style="10" customWidth="1"/>
    <col min="2" max="2" width="29.42578125" style="9" customWidth="1"/>
    <col min="3" max="3" width="5.7109375" style="158" customWidth="1"/>
    <col min="4" max="4" width="1.42578125" style="159" bestFit="1" customWidth="1"/>
    <col min="5" max="5" width="5.7109375" style="158" customWidth="1"/>
    <col min="6" max="6" width="5.28515625" style="56" customWidth="1"/>
    <col min="7" max="26" width="5.28515625" customWidth="1"/>
  </cols>
  <sheetData>
    <row r="1" spans="1:26" s="54" customFormat="1" ht="33" customHeight="1" x14ac:dyDescent="0.2">
      <c r="A1" s="57" t="s">
        <v>101</v>
      </c>
      <c r="B1" s="53" t="s">
        <v>123</v>
      </c>
      <c r="C1" s="151" t="s">
        <v>121</v>
      </c>
      <c r="D1" s="151" t="s">
        <v>1</v>
      </c>
      <c r="E1" s="152" t="s">
        <v>122</v>
      </c>
      <c r="F1" s="53" t="s">
        <v>124</v>
      </c>
      <c r="G1" s="53" t="s">
        <v>125</v>
      </c>
      <c r="H1" s="55" t="s">
        <v>103</v>
      </c>
      <c r="I1" s="55" t="s">
        <v>104</v>
      </c>
      <c r="J1" s="55" t="s">
        <v>105</v>
      </c>
      <c r="K1" s="55" t="s">
        <v>106</v>
      </c>
      <c r="L1" s="55" t="s">
        <v>107</v>
      </c>
      <c r="M1" s="55" t="s">
        <v>108</v>
      </c>
      <c r="N1" s="55" t="s">
        <v>109</v>
      </c>
      <c r="O1" s="55" t="s">
        <v>110</v>
      </c>
      <c r="P1" s="55" t="s">
        <v>111</v>
      </c>
      <c r="Q1" s="55" t="s">
        <v>112</v>
      </c>
      <c r="R1" s="55" t="s">
        <v>113</v>
      </c>
      <c r="S1" s="55" t="s">
        <v>114</v>
      </c>
      <c r="T1" s="55" t="s">
        <v>115</v>
      </c>
      <c r="U1" s="55" t="s">
        <v>116</v>
      </c>
      <c r="V1" s="55" t="s">
        <v>117</v>
      </c>
      <c r="W1" s="55" t="s">
        <v>118</v>
      </c>
      <c r="X1" s="55" t="s">
        <v>119</v>
      </c>
      <c r="Y1" s="55" t="s">
        <v>120</v>
      </c>
      <c r="Z1" s="55" t="s">
        <v>132</v>
      </c>
    </row>
    <row r="2" spans="1:26" s="49" customFormat="1" ht="22.5" customHeight="1" x14ac:dyDescent="0.2">
      <c r="A2" s="50"/>
      <c r="B2" s="478" t="s">
        <v>100</v>
      </c>
      <c r="C2" s="478"/>
      <c r="D2" s="478"/>
      <c r="E2" s="478"/>
      <c r="F2" s="478"/>
      <c r="G2" s="478"/>
      <c r="H2" s="99">
        <v>1.0085</v>
      </c>
      <c r="I2" s="99">
        <v>1.0085</v>
      </c>
      <c r="J2" s="99">
        <v>1.0085</v>
      </c>
      <c r="K2" s="99">
        <v>1.0085</v>
      </c>
      <c r="L2" s="99">
        <v>1.0085</v>
      </c>
      <c r="M2" s="99">
        <v>1.0085</v>
      </c>
      <c r="N2" s="177">
        <v>1.0076000000000001</v>
      </c>
      <c r="O2" s="177">
        <v>1.0076000000000001</v>
      </c>
      <c r="P2" s="177">
        <v>1.0076000000000001</v>
      </c>
      <c r="Q2" s="177">
        <v>1.0076000000000001</v>
      </c>
      <c r="R2" s="177">
        <v>1.0076000000000001</v>
      </c>
      <c r="S2" s="177">
        <v>1.0076000000000001</v>
      </c>
      <c r="T2" s="177">
        <v>1.0076000000000001</v>
      </c>
      <c r="U2" s="177">
        <v>1.0076000000000001</v>
      </c>
      <c r="V2" s="177">
        <v>1.0076000000000001</v>
      </c>
      <c r="W2" s="177">
        <v>1.0076000000000001</v>
      </c>
      <c r="X2" s="177">
        <v>1.0076000000000001</v>
      </c>
      <c r="Y2" s="178">
        <v>1.0076000000000001</v>
      </c>
      <c r="Z2" s="179">
        <v>1.0066999999999999</v>
      </c>
    </row>
    <row r="3" spans="1:26" s="20" customFormat="1" x14ac:dyDescent="0.2">
      <c r="A3" s="79">
        <v>1</v>
      </c>
      <c r="B3" s="80" t="s">
        <v>81</v>
      </c>
      <c r="C3" s="153"/>
      <c r="D3" s="154"/>
      <c r="E3" s="153"/>
      <c r="F3" s="76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1:26" ht="24" customHeight="1" x14ac:dyDescent="0.2">
      <c r="A4" s="184" t="s">
        <v>0</v>
      </c>
      <c r="B4" s="71" t="s">
        <v>82</v>
      </c>
      <c r="C4" s="72" t="str">
        <f>J$1</f>
        <v>сен 2023</v>
      </c>
      <c r="D4" s="90" t="s">
        <v>1</v>
      </c>
      <c r="E4" s="72" t="str">
        <f>K$1</f>
        <v>окт 2023</v>
      </c>
      <c r="F4" s="91">
        <f>ROUND(PRODUCT(H4:I4),4)</f>
        <v>1.0170999999999999</v>
      </c>
      <c r="G4" s="93">
        <f>ROUND(PRODUCT(J4:K4),4)</f>
        <v>1.0170999999999999</v>
      </c>
      <c r="H4" s="73">
        <f>H$2</f>
        <v>1.0085</v>
      </c>
      <c r="I4" s="73">
        <f>I$2</f>
        <v>1.0085</v>
      </c>
      <c r="J4" s="74">
        <f>J$2</f>
        <v>1.0085</v>
      </c>
      <c r="K4" s="74">
        <f>K$2</f>
        <v>1.0085</v>
      </c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97"/>
      <c r="Z4" s="100"/>
    </row>
    <row r="5" spans="1:26" ht="24" customHeight="1" x14ac:dyDescent="0.2">
      <c r="A5" s="185" t="s">
        <v>2</v>
      </c>
      <c r="B5" s="52" t="s">
        <v>83</v>
      </c>
      <c r="C5" s="59" t="str">
        <f>J$1</f>
        <v>сен 2023</v>
      </c>
      <c r="D5" s="58" t="s">
        <v>1</v>
      </c>
      <c r="E5" s="59" t="str">
        <f>J$1</f>
        <v>сен 2023</v>
      </c>
      <c r="F5" s="62">
        <f t="shared" ref="F5:F6" si="0">ROUND(PRODUCT(H5:I5),4)</f>
        <v>1.0170999999999999</v>
      </c>
      <c r="G5" s="94">
        <f t="shared" ref="G5:G6" si="1">ROUND(PRODUCT(J5:K5),4)</f>
        <v>1.0085</v>
      </c>
      <c r="H5" s="63">
        <f t="shared" ref="H5:J6" si="2">H$2</f>
        <v>1.0085</v>
      </c>
      <c r="I5" s="63">
        <f t="shared" si="2"/>
        <v>1.0085</v>
      </c>
      <c r="J5" s="61">
        <f t="shared" si="2"/>
        <v>1.0085</v>
      </c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85"/>
    </row>
    <row r="6" spans="1:26" ht="24" customHeight="1" x14ac:dyDescent="0.2">
      <c r="A6" s="186" t="s">
        <v>84</v>
      </c>
      <c r="B6" s="65" t="s">
        <v>102</v>
      </c>
      <c r="C6" s="150" t="str">
        <f>J$1</f>
        <v>сен 2023</v>
      </c>
      <c r="D6" s="66" t="s">
        <v>1</v>
      </c>
      <c r="E6" s="150" t="str">
        <f>K$1</f>
        <v>окт 2023</v>
      </c>
      <c r="F6" s="92">
        <f t="shared" si="0"/>
        <v>1.0170999999999999</v>
      </c>
      <c r="G6" s="95">
        <f t="shared" si="1"/>
        <v>1.0170999999999999</v>
      </c>
      <c r="H6" s="67">
        <f t="shared" si="2"/>
        <v>1.0085</v>
      </c>
      <c r="I6" s="67">
        <f t="shared" si="2"/>
        <v>1.0085</v>
      </c>
      <c r="J6" s="68">
        <f t="shared" si="2"/>
        <v>1.0085</v>
      </c>
      <c r="K6" s="68">
        <f>K$2</f>
        <v>1.0085</v>
      </c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98"/>
      <c r="Z6" s="101"/>
    </row>
    <row r="7" spans="1:26" s="20" customFormat="1" ht="13.5" customHeight="1" x14ac:dyDescent="0.2">
      <c r="A7" s="79" t="s">
        <v>3</v>
      </c>
      <c r="B7" s="88" t="s">
        <v>126</v>
      </c>
      <c r="C7" s="153"/>
      <c r="D7" s="155"/>
      <c r="E7" s="156"/>
      <c r="F7" s="81"/>
      <c r="G7" s="82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4"/>
    </row>
    <row r="8" spans="1:26" ht="24" customHeight="1" x14ac:dyDescent="0.2">
      <c r="A8" s="184" t="s">
        <v>4</v>
      </c>
      <c r="B8" s="71" t="s">
        <v>127</v>
      </c>
      <c r="C8" s="72" t="str">
        <f>J1</f>
        <v>сен 2023</v>
      </c>
      <c r="D8" s="90" t="s">
        <v>1</v>
      </c>
      <c r="E8" s="150" t="str">
        <f>K1</f>
        <v>окт 2023</v>
      </c>
      <c r="F8" s="62">
        <f t="shared" ref="F8" si="3">ROUND(PRODUCT(H8:I8),4)</f>
        <v>1.0170999999999999</v>
      </c>
      <c r="G8" s="94">
        <f t="shared" ref="G8" si="4">ROUND(PRODUCT(J8:K8),4)</f>
        <v>1.0170999999999999</v>
      </c>
      <c r="H8" s="63">
        <f t="shared" ref="H8:Y39" si="5">H$2</f>
        <v>1.0085</v>
      </c>
      <c r="I8" s="63">
        <f t="shared" si="5"/>
        <v>1.0085</v>
      </c>
      <c r="J8" s="68">
        <f>J$2</f>
        <v>1.0085</v>
      </c>
      <c r="K8" s="68">
        <f>K$2</f>
        <v>1.0085</v>
      </c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97"/>
      <c r="Z8" s="100"/>
    </row>
    <row r="9" spans="1:26" ht="24" customHeight="1" x14ac:dyDescent="0.2">
      <c r="A9" s="185" t="s">
        <v>5</v>
      </c>
      <c r="B9" s="52" t="s">
        <v>128</v>
      </c>
      <c r="C9" s="72" t="str">
        <f>L1</f>
        <v>ноя 2023</v>
      </c>
      <c r="D9" s="90" t="s">
        <v>1</v>
      </c>
      <c r="E9" s="150" t="str">
        <f>L1</f>
        <v>ноя 2023</v>
      </c>
      <c r="F9" s="62">
        <f>ROUND(PRODUCT(H9:K9),4)</f>
        <v>1.0344</v>
      </c>
      <c r="G9" s="94">
        <f>ROUND(PRODUCT(L9:L9),4)</f>
        <v>1.0085</v>
      </c>
      <c r="H9" s="63">
        <f t="shared" si="5"/>
        <v>1.0085</v>
      </c>
      <c r="I9" s="63">
        <f t="shared" si="5"/>
        <v>1.0085</v>
      </c>
      <c r="J9" s="63">
        <f t="shared" si="5"/>
        <v>1.0085</v>
      </c>
      <c r="K9" s="63">
        <f t="shared" si="5"/>
        <v>1.0085</v>
      </c>
      <c r="L9" s="68">
        <f>L$2</f>
        <v>1.0085</v>
      </c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85"/>
    </row>
    <row r="10" spans="1:26" ht="24" customHeight="1" x14ac:dyDescent="0.2">
      <c r="A10" s="186" t="s">
        <v>6</v>
      </c>
      <c r="B10" s="65" t="s">
        <v>129</v>
      </c>
      <c r="C10" s="89" t="str">
        <f>K1</f>
        <v>окт 2023</v>
      </c>
      <c r="D10" s="90" t="s">
        <v>1</v>
      </c>
      <c r="E10" s="96" t="str">
        <f>L1</f>
        <v>ноя 2023</v>
      </c>
      <c r="F10" s="62">
        <f>ROUND(PRODUCT(H10:J10),4)</f>
        <v>1.0257000000000001</v>
      </c>
      <c r="G10" s="94">
        <f>ROUND(PRODUCT(K10:L10),4)</f>
        <v>1.0170999999999999</v>
      </c>
      <c r="H10" s="63">
        <f t="shared" si="5"/>
        <v>1.0085</v>
      </c>
      <c r="I10" s="63">
        <f t="shared" si="5"/>
        <v>1.0085</v>
      </c>
      <c r="J10" s="63">
        <f t="shared" si="5"/>
        <v>1.0085</v>
      </c>
      <c r="K10" s="68">
        <f>K$2</f>
        <v>1.0085</v>
      </c>
      <c r="L10" s="68">
        <f>L$2</f>
        <v>1.0085</v>
      </c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86"/>
    </row>
    <row r="11" spans="1:26" ht="24" customHeight="1" x14ac:dyDescent="0.2">
      <c r="A11" s="186" t="s">
        <v>7</v>
      </c>
      <c r="B11" s="65" t="s">
        <v>130</v>
      </c>
      <c r="C11" s="89" t="str">
        <f>M1</f>
        <v>дек 2023</v>
      </c>
      <c r="D11" s="90" t="s">
        <v>1</v>
      </c>
      <c r="E11" s="96" t="str">
        <f>M1</f>
        <v>дек 2023</v>
      </c>
      <c r="F11" s="62">
        <f>ROUND(PRODUCT(H11:L11),4)</f>
        <v>1.0431999999999999</v>
      </c>
      <c r="G11" s="94">
        <f>ROUND(PRODUCT(M11:M11),4)</f>
        <v>1.0085</v>
      </c>
      <c r="H11" s="63">
        <f t="shared" si="5"/>
        <v>1.0085</v>
      </c>
      <c r="I11" s="63">
        <f t="shared" si="5"/>
        <v>1.0085</v>
      </c>
      <c r="J11" s="63">
        <f t="shared" si="5"/>
        <v>1.0085</v>
      </c>
      <c r="K11" s="63">
        <f t="shared" si="5"/>
        <v>1.0085</v>
      </c>
      <c r="L11" s="63">
        <f t="shared" si="5"/>
        <v>1.0085</v>
      </c>
      <c r="M11" s="68">
        <f>M$2</f>
        <v>1.0085</v>
      </c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98"/>
      <c r="Z11" s="101"/>
    </row>
    <row r="12" spans="1:26" s="20" customFormat="1" ht="13.5" customHeight="1" x14ac:dyDescent="0.2">
      <c r="A12" s="79" t="s">
        <v>8</v>
      </c>
      <c r="B12" s="88" t="s">
        <v>131</v>
      </c>
      <c r="C12" s="153"/>
      <c r="D12" s="155"/>
      <c r="E12" s="156"/>
      <c r="F12" s="81"/>
      <c r="G12" s="8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4"/>
    </row>
    <row r="13" spans="1:26" ht="24" customHeight="1" x14ac:dyDescent="0.2">
      <c r="A13" s="184" t="s">
        <v>9</v>
      </c>
      <c r="B13" s="71" t="s">
        <v>133</v>
      </c>
      <c r="C13" s="89" t="str">
        <f>L1</f>
        <v>ноя 2023</v>
      </c>
      <c r="D13" s="90" t="s">
        <v>1</v>
      </c>
      <c r="E13" s="89" t="str">
        <f>M1</f>
        <v>дек 2023</v>
      </c>
      <c r="F13" s="91">
        <f>ROUND(PRODUCT(H13:K13),4)</f>
        <v>1.0344</v>
      </c>
      <c r="G13" s="93">
        <f>ROUND(PRODUCT(L13:M13),4)</f>
        <v>1.0170999999999999</v>
      </c>
      <c r="H13" s="63">
        <f t="shared" si="5"/>
        <v>1.0085</v>
      </c>
      <c r="I13" s="63">
        <f t="shared" si="5"/>
        <v>1.0085</v>
      </c>
      <c r="J13" s="63">
        <f t="shared" si="5"/>
        <v>1.0085</v>
      </c>
      <c r="K13" s="63">
        <f t="shared" si="5"/>
        <v>1.0085</v>
      </c>
      <c r="L13" s="68">
        <f>L$2</f>
        <v>1.0085</v>
      </c>
      <c r="M13" s="68">
        <f>M$2</f>
        <v>1.0085</v>
      </c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97"/>
      <c r="Z13" s="100"/>
    </row>
    <row r="14" spans="1:26" ht="24" customHeight="1" x14ac:dyDescent="0.2">
      <c r="A14" s="185" t="s">
        <v>10</v>
      </c>
      <c r="B14" s="52" t="s">
        <v>134</v>
      </c>
      <c r="C14" s="89" t="str">
        <f>M1</f>
        <v>дек 2023</v>
      </c>
      <c r="D14" s="89" t="s">
        <v>1</v>
      </c>
      <c r="E14" s="89" t="str">
        <f>N1</f>
        <v>янв 2024</v>
      </c>
      <c r="F14" s="62">
        <f>ROUND(PRODUCT(H14:L14),4)</f>
        <v>1.0431999999999999</v>
      </c>
      <c r="G14" s="93">
        <f>ROUND(PRODUCT(M14:N14),4)</f>
        <v>1.0153000000000001</v>
      </c>
      <c r="H14" s="63">
        <f t="shared" si="5"/>
        <v>1.0085</v>
      </c>
      <c r="I14" s="63">
        <f t="shared" si="5"/>
        <v>1.0085</v>
      </c>
      <c r="J14" s="63">
        <f t="shared" si="5"/>
        <v>1.0085</v>
      </c>
      <c r="K14" s="63">
        <f t="shared" si="5"/>
        <v>1.0085</v>
      </c>
      <c r="L14" s="63">
        <f t="shared" si="5"/>
        <v>1.0085</v>
      </c>
      <c r="M14" s="68">
        <f>N$2</f>
        <v>1.0076000000000001</v>
      </c>
      <c r="N14" s="68">
        <f>O$2</f>
        <v>1.0076000000000001</v>
      </c>
      <c r="O14" s="87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85"/>
    </row>
    <row r="15" spans="1:26" s="20" customFormat="1" ht="13.5" customHeight="1" x14ac:dyDescent="0.2">
      <c r="A15" s="79" t="s">
        <v>11</v>
      </c>
      <c r="B15" s="88" t="s">
        <v>136</v>
      </c>
      <c r="C15" s="153"/>
      <c r="D15" s="155"/>
      <c r="E15" s="156"/>
      <c r="F15" s="81"/>
      <c r="G15" s="82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4"/>
    </row>
    <row r="16" spans="1:26" ht="32.25" customHeight="1" x14ac:dyDescent="0.2">
      <c r="A16" s="184" t="s">
        <v>12</v>
      </c>
      <c r="B16" s="71" t="s">
        <v>135</v>
      </c>
      <c r="C16" s="89" t="str">
        <f>N1</f>
        <v>янв 2024</v>
      </c>
      <c r="D16" s="89" t="s">
        <v>1</v>
      </c>
      <c r="E16" s="89" t="str">
        <f>Q1</f>
        <v>апр 2024</v>
      </c>
      <c r="F16" s="62">
        <f>ROUND(PRODUCT(H16:M16),4)</f>
        <v>1.0521</v>
      </c>
      <c r="G16" s="93">
        <f>ROUND(PRODUCT(N16:Q16),4)</f>
        <v>1.0306999999999999</v>
      </c>
      <c r="H16" s="63">
        <f t="shared" si="5"/>
        <v>1.0085</v>
      </c>
      <c r="I16" s="63">
        <f t="shared" si="5"/>
        <v>1.0085</v>
      </c>
      <c r="J16" s="63">
        <f t="shared" si="5"/>
        <v>1.0085</v>
      </c>
      <c r="K16" s="63">
        <f t="shared" si="5"/>
        <v>1.0085</v>
      </c>
      <c r="L16" s="63">
        <f t="shared" si="5"/>
        <v>1.0085</v>
      </c>
      <c r="M16" s="63">
        <f t="shared" si="5"/>
        <v>1.0085</v>
      </c>
      <c r="N16" s="68">
        <f>N$2</f>
        <v>1.0076000000000001</v>
      </c>
      <c r="O16" s="68">
        <f>O$2</f>
        <v>1.0076000000000001</v>
      </c>
      <c r="P16" s="68">
        <f>P$2</f>
        <v>1.0076000000000001</v>
      </c>
      <c r="Q16" s="68">
        <f>Q$2</f>
        <v>1.0076000000000001</v>
      </c>
      <c r="R16" s="75"/>
      <c r="S16" s="75"/>
      <c r="T16" s="75"/>
      <c r="U16" s="75"/>
      <c r="V16" s="75"/>
      <c r="W16" s="75"/>
      <c r="X16" s="75"/>
      <c r="Y16" s="97"/>
      <c r="Z16" s="100"/>
    </row>
    <row r="17" spans="1:26" s="20" customFormat="1" ht="13.5" customHeight="1" x14ac:dyDescent="0.2">
      <c r="A17" s="79" t="s">
        <v>13</v>
      </c>
      <c r="B17" s="88" t="s">
        <v>137</v>
      </c>
      <c r="C17" s="153"/>
      <c r="D17" s="155"/>
      <c r="E17" s="156"/>
      <c r="F17" s="81"/>
      <c r="G17" s="82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4"/>
    </row>
    <row r="18" spans="1:26" ht="22.5" x14ac:dyDescent="0.2">
      <c r="A18" s="184" t="s">
        <v>14</v>
      </c>
      <c r="B18" s="71" t="s">
        <v>142</v>
      </c>
      <c r="C18" s="89" t="str">
        <f>R1</f>
        <v>май 2024</v>
      </c>
      <c r="D18" s="90" t="s">
        <v>1</v>
      </c>
      <c r="E18" s="89" t="str">
        <f>R1</f>
        <v>май 2024</v>
      </c>
      <c r="F18" s="62">
        <f>ROUND(PRODUCT(H18:Q18),4)</f>
        <v>1.0844</v>
      </c>
      <c r="G18" s="93">
        <f>ROUND(PRODUCT(R18),4)</f>
        <v>1.0076000000000001</v>
      </c>
      <c r="H18" s="63">
        <f t="shared" si="5"/>
        <v>1.0085</v>
      </c>
      <c r="I18" s="63">
        <f t="shared" si="5"/>
        <v>1.0085</v>
      </c>
      <c r="J18" s="63">
        <f t="shared" si="5"/>
        <v>1.0085</v>
      </c>
      <c r="K18" s="63">
        <f t="shared" si="5"/>
        <v>1.0085</v>
      </c>
      <c r="L18" s="63">
        <f t="shared" si="5"/>
        <v>1.0085</v>
      </c>
      <c r="M18" s="63">
        <f t="shared" si="5"/>
        <v>1.0085</v>
      </c>
      <c r="N18" s="63">
        <f t="shared" si="5"/>
        <v>1.0076000000000001</v>
      </c>
      <c r="O18" s="63">
        <f t="shared" si="5"/>
        <v>1.0076000000000001</v>
      </c>
      <c r="P18" s="63">
        <f t="shared" si="5"/>
        <v>1.0076000000000001</v>
      </c>
      <c r="Q18" s="63">
        <f t="shared" si="5"/>
        <v>1.0076000000000001</v>
      </c>
      <c r="R18" s="68">
        <f>R$2</f>
        <v>1.0076000000000001</v>
      </c>
      <c r="S18" s="75"/>
      <c r="T18" s="75"/>
      <c r="U18" s="75"/>
      <c r="V18" s="75"/>
      <c r="W18" s="75"/>
      <c r="X18" s="75"/>
      <c r="Y18" s="97"/>
      <c r="Z18" s="100"/>
    </row>
    <row r="19" spans="1:26" ht="22.5" x14ac:dyDescent="0.2">
      <c r="A19" s="185" t="s">
        <v>15</v>
      </c>
      <c r="B19" s="52" t="s">
        <v>143</v>
      </c>
      <c r="C19" s="89" t="str">
        <f>S1</f>
        <v>июн 2024</v>
      </c>
      <c r="D19" s="90" t="s">
        <v>1</v>
      </c>
      <c r="E19" s="89" t="str">
        <f>T1</f>
        <v>июл 2024</v>
      </c>
      <c r="F19" s="62">
        <f>ROUND(PRODUCT(H19:R19),4)</f>
        <v>1.0927</v>
      </c>
      <c r="G19" s="93">
        <f>ROUND(PRODUCT(S19:T19),4)</f>
        <v>1.0153000000000001</v>
      </c>
      <c r="H19" s="63">
        <f t="shared" si="5"/>
        <v>1.0085</v>
      </c>
      <c r="I19" s="63">
        <f t="shared" si="5"/>
        <v>1.0085</v>
      </c>
      <c r="J19" s="63">
        <f t="shared" si="5"/>
        <v>1.0085</v>
      </c>
      <c r="K19" s="63">
        <f t="shared" si="5"/>
        <v>1.0085</v>
      </c>
      <c r="L19" s="63">
        <f t="shared" si="5"/>
        <v>1.0085</v>
      </c>
      <c r="M19" s="63">
        <f t="shared" si="5"/>
        <v>1.0085</v>
      </c>
      <c r="N19" s="63">
        <f t="shared" si="5"/>
        <v>1.0076000000000001</v>
      </c>
      <c r="O19" s="63">
        <f t="shared" si="5"/>
        <v>1.0076000000000001</v>
      </c>
      <c r="P19" s="63">
        <f t="shared" si="5"/>
        <v>1.0076000000000001</v>
      </c>
      <c r="Q19" s="63">
        <f t="shared" si="5"/>
        <v>1.0076000000000001</v>
      </c>
      <c r="R19" s="63">
        <f t="shared" si="5"/>
        <v>1.0076000000000001</v>
      </c>
      <c r="S19" s="68">
        <f t="shared" ref="S19" si="6">S$2</f>
        <v>1.0076000000000001</v>
      </c>
      <c r="T19" s="68">
        <f>R$2</f>
        <v>1.0076000000000001</v>
      </c>
      <c r="U19" s="60"/>
      <c r="V19" s="60"/>
      <c r="W19" s="60"/>
      <c r="X19" s="60"/>
      <c r="Y19" s="60"/>
      <c r="Z19" s="85"/>
    </row>
    <row r="20" spans="1:26" ht="33.75" customHeight="1" x14ac:dyDescent="0.2">
      <c r="A20" s="186" t="s">
        <v>24</v>
      </c>
      <c r="B20" s="65" t="s">
        <v>144</v>
      </c>
      <c r="C20" s="72" t="str">
        <f>S1</f>
        <v>июн 2024</v>
      </c>
      <c r="D20" s="90" t="s">
        <v>1</v>
      </c>
      <c r="E20" s="89" t="str">
        <f>S1</f>
        <v>июн 2024</v>
      </c>
      <c r="F20" s="62">
        <f>ROUND(PRODUCT(H20:R20),4)</f>
        <v>1.0927</v>
      </c>
      <c r="G20" s="93">
        <f>ROUND(PRODUCT(S20),4)</f>
        <v>1.0076000000000001</v>
      </c>
      <c r="H20" s="63">
        <f t="shared" si="5"/>
        <v>1.0085</v>
      </c>
      <c r="I20" s="63">
        <f t="shared" si="5"/>
        <v>1.0085</v>
      </c>
      <c r="J20" s="63">
        <f t="shared" si="5"/>
        <v>1.0085</v>
      </c>
      <c r="K20" s="63">
        <f t="shared" si="5"/>
        <v>1.0085</v>
      </c>
      <c r="L20" s="63">
        <f t="shared" si="5"/>
        <v>1.0085</v>
      </c>
      <c r="M20" s="63">
        <f t="shared" si="5"/>
        <v>1.0085</v>
      </c>
      <c r="N20" s="63">
        <f t="shared" si="5"/>
        <v>1.0076000000000001</v>
      </c>
      <c r="O20" s="63">
        <f t="shared" si="5"/>
        <v>1.0076000000000001</v>
      </c>
      <c r="P20" s="63">
        <f t="shared" si="5"/>
        <v>1.0076000000000001</v>
      </c>
      <c r="Q20" s="63">
        <f t="shared" si="5"/>
        <v>1.0076000000000001</v>
      </c>
      <c r="R20" s="63">
        <f t="shared" si="5"/>
        <v>1.0076000000000001</v>
      </c>
      <c r="S20" s="68">
        <f>S$2</f>
        <v>1.0076000000000001</v>
      </c>
      <c r="T20" s="69"/>
      <c r="U20" s="69"/>
      <c r="V20" s="69"/>
      <c r="W20" s="69"/>
      <c r="X20" s="69"/>
      <c r="Y20" s="69"/>
      <c r="Z20" s="86"/>
    </row>
    <row r="21" spans="1:26" ht="33.75" x14ac:dyDescent="0.2">
      <c r="A21" s="186" t="s">
        <v>138</v>
      </c>
      <c r="B21" s="65" t="s">
        <v>145</v>
      </c>
      <c r="C21" s="89" t="str">
        <f>T1</f>
        <v>июл 2024</v>
      </c>
      <c r="D21" s="90" t="s">
        <v>1</v>
      </c>
      <c r="E21" s="89" t="str">
        <f>T1</f>
        <v>июл 2024</v>
      </c>
      <c r="F21" s="62">
        <f>ROUND(PRODUCT(H21:S21),4)</f>
        <v>1.101</v>
      </c>
      <c r="G21" s="93">
        <f>ROUND(PRODUCT(T21),4)</f>
        <v>1.0076000000000001</v>
      </c>
      <c r="H21" s="63">
        <f t="shared" si="5"/>
        <v>1.0085</v>
      </c>
      <c r="I21" s="63">
        <f t="shared" si="5"/>
        <v>1.0085</v>
      </c>
      <c r="J21" s="63">
        <f t="shared" si="5"/>
        <v>1.0085</v>
      </c>
      <c r="K21" s="63">
        <f t="shared" si="5"/>
        <v>1.0085</v>
      </c>
      <c r="L21" s="63">
        <f t="shared" si="5"/>
        <v>1.0085</v>
      </c>
      <c r="M21" s="63">
        <f t="shared" si="5"/>
        <v>1.0085</v>
      </c>
      <c r="N21" s="63">
        <f t="shared" si="5"/>
        <v>1.0076000000000001</v>
      </c>
      <c r="O21" s="63">
        <f t="shared" si="5"/>
        <v>1.0076000000000001</v>
      </c>
      <c r="P21" s="63">
        <f t="shared" si="5"/>
        <v>1.0076000000000001</v>
      </c>
      <c r="Q21" s="63">
        <f t="shared" si="5"/>
        <v>1.0076000000000001</v>
      </c>
      <c r="R21" s="63">
        <f t="shared" si="5"/>
        <v>1.0076000000000001</v>
      </c>
      <c r="S21" s="63">
        <f t="shared" si="5"/>
        <v>1.0076000000000001</v>
      </c>
      <c r="T21" s="68">
        <f>R$2</f>
        <v>1.0076000000000001</v>
      </c>
      <c r="U21" s="69"/>
      <c r="V21" s="69"/>
      <c r="W21" s="69"/>
      <c r="X21" s="69"/>
      <c r="Y21" s="69"/>
      <c r="Z21" s="86"/>
    </row>
    <row r="22" spans="1:26" ht="24" customHeight="1" x14ac:dyDescent="0.2">
      <c r="A22" s="186" t="s">
        <v>139</v>
      </c>
      <c r="B22" s="107" t="s">
        <v>146</v>
      </c>
      <c r="C22" s="89" t="str">
        <f>T1</f>
        <v>июл 2024</v>
      </c>
      <c r="D22" s="90" t="s">
        <v>1</v>
      </c>
      <c r="E22" s="182" t="str">
        <f>U1</f>
        <v>авг 2024</v>
      </c>
      <c r="F22" s="62">
        <f>ROUND(PRODUCT(H22:S22),4)</f>
        <v>1.101</v>
      </c>
      <c r="G22" s="93">
        <f>ROUND(PRODUCT(T22:U22),4)</f>
        <v>1.0153000000000001</v>
      </c>
      <c r="H22" s="63">
        <f t="shared" si="5"/>
        <v>1.0085</v>
      </c>
      <c r="I22" s="63">
        <f t="shared" si="5"/>
        <v>1.0085</v>
      </c>
      <c r="J22" s="63">
        <f t="shared" si="5"/>
        <v>1.0085</v>
      </c>
      <c r="K22" s="63">
        <f t="shared" si="5"/>
        <v>1.0085</v>
      </c>
      <c r="L22" s="63">
        <f t="shared" si="5"/>
        <v>1.0085</v>
      </c>
      <c r="M22" s="63">
        <f t="shared" si="5"/>
        <v>1.0085</v>
      </c>
      <c r="N22" s="63">
        <f t="shared" si="5"/>
        <v>1.0076000000000001</v>
      </c>
      <c r="O22" s="63">
        <f t="shared" si="5"/>
        <v>1.0076000000000001</v>
      </c>
      <c r="P22" s="63">
        <f t="shared" si="5"/>
        <v>1.0076000000000001</v>
      </c>
      <c r="Q22" s="63">
        <f t="shared" si="5"/>
        <v>1.0076000000000001</v>
      </c>
      <c r="R22" s="63">
        <f t="shared" si="5"/>
        <v>1.0076000000000001</v>
      </c>
      <c r="S22" s="63">
        <f t="shared" si="5"/>
        <v>1.0076000000000001</v>
      </c>
      <c r="T22" s="68">
        <f>R$2</f>
        <v>1.0076000000000001</v>
      </c>
      <c r="U22" s="68">
        <f>S$2</f>
        <v>1.0076000000000001</v>
      </c>
      <c r="V22" s="69"/>
      <c r="W22" s="69"/>
      <c r="X22" s="69"/>
      <c r="Y22" s="69"/>
      <c r="Z22" s="86"/>
    </row>
    <row r="23" spans="1:26" ht="24" customHeight="1" x14ac:dyDescent="0.2">
      <c r="A23" s="186" t="s">
        <v>140</v>
      </c>
      <c r="B23" s="65" t="s">
        <v>147</v>
      </c>
      <c r="C23" s="89" t="str">
        <f>T1</f>
        <v>июл 2024</v>
      </c>
      <c r="D23" s="90" t="s">
        <v>1</v>
      </c>
      <c r="E23" s="89" t="str">
        <f>T1</f>
        <v>июл 2024</v>
      </c>
      <c r="F23" s="62">
        <f>ROUND(PRODUCT(H23:S23),4)</f>
        <v>1.101</v>
      </c>
      <c r="G23" s="93">
        <f>ROUND(PRODUCT(T23),4)</f>
        <v>1.0076000000000001</v>
      </c>
      <c r="H23" s="63">
        <f t="shared" si="5"/>
        <v>1.0085</v>
      </c>
      <c r="I23" s="63">
        <f t="shared" si="5"/>
        <v>1.0085</v>
      </c>
      <c r="J23" s="63">
        <f t="shared" si="5"/>
        <v>1.0085</v>
      </c>
      <c r="K23" s="63">
        <f t="shared" si="5"/>
        <v>1.0085</v>
      </c>
      <c r="L23" s="63">
        <f t="shared" si="5"/>
        <v>1.0085</v>
      </c>
      <c r="M23" s="63">
        <f t="shared" si="5"/>
        <v>1.0085</v>
      </c>
      <c r="N23" s="63">
        <f t="shared" si="5"/>
        <v>1.0076000000000001</v>
      </c>
      <c r="O23" s="63">
        <f t="shared" si="5"/>
        <v>1.0076000000000001</v>
      </c>
      <c r="P23" s="63">
        <f t="shared" si="5"/>
        <v>1.0076000000000001</v>
      </c>
      <c r="Q23" s="63">
        <f t="shared" si="5"/>
        <v>1.0076000000000001</v>
      </c>
      <c r="R23" s="63">
        <f t="shared" si="5"/>
        <v>1.0076000000000001</v>
      </c>
      <c r="S23" s="63">
        <f t="shared" si="5"/>
        <v>1.0076000000000001</v>
      </c>
      <c r="T23" s="68">
        <f>R$2</f>
        <v>1.0076000000000001</v>
      </c>
      <c r="U23" s="69"/>
      <c r="V23" s="69"/>
      <c r="W23" s="69"/>
      <c r="X23" s="69"/>
      <c r="Y23" s="69"/>
      <c r="Z23" s="86"/>
    </row>
    <row r="24" spans="1:26" ht="33.75" x14ac:dyDescent="0.2">
      <c r="A24" s="201" t="s">
        <v>141</v>
      </c>
      <c r="B24" s="102" t="s">
        <v>148</v>
      </c>
      <c r="C24" s="202" t="str">
        <f>U1</f>
        <v>авг 2024</v>
      </c>
      <c r="D24" s="157" t="s">
        <v>1</v>
      </c>
      <c r="E24" s="202" t="str">
        <f>V1</f>
        <v>сен 2024</v>
      </c>
      <c r="F24" s="103">
        <f>ROUND(PRODUCT(H24:U24),4)</f>
        <v>1.1177999999999999</v>
      </c>
      <c r="G24" s="112">
        <f>ROUND(PRODUCT(V24),4)</f>
        <v>1.0076000000000001</v>
      </c>
      <c r="H24" s="105">
        <f t="shared" si="5"/>
        <v>1.0085</v>
      </c>
      <c r="I24" s="105">
        <f t="shared" si="5"/>
        <v>1.0085</v>
      </c>
      <c r="J24" s="105">
        <f t="shared" si="5"/>
        <v>1.0085</v>
      </c>
      <c r="K24" s="105">
        <f t="shared" si="5"/>
        <v>1.0085</v>
      </c>
      <c r="L24" s="105">
        <f t="shared" si="5"/>
        <v>1.0085</v>
      </c>
      <c r="M24" s="105">
        <f t="shared" si="5"/>
        <v>1.0085</v>
      </c>
      <c r="N24" s="105">
        <f t="shared" si="5"/>
        <v>1.0076000000000001</v>
      </c>
      <c r="O24" s="105">
        <f t="shared" si="5"/>
        <v>1.0076000000000001</v>
      </c>
      <c r="P24" s="105">
        <f t="shared" si="5"/>
        <v>1.0076000000000001</v>
      </c>
      <c r="Q24" s="105">
        <f t="shared" si="5"/>
        <v>1.0076000000000001</v>
      </c>
      <c r="R24" s="105">
        <f t="shared" si="5"/>
        <v>1.0076000000000001</v>
      </c>
      <c r="S24" s="105">
        <f t="shared" si="5"/>
        <v>1.0076000000000001</v>
      </c>
      <c r="T24" s="105">
        <f t="shared" si="5"/>
        <v>1.0076000000000001</v>
      </c>
      <c r="U24" s="105">
        <f t="shared" si="5"/>
        <v>1.0076000000000001</v>
      </c>
      <c r="V24" s="106">
        <f>T$2</f>
        <v>1.0076000000000001</v>
      </c>
      <c r="W24" s="98"/>
      <c r="X24" s="98"/>
      <c r="Y24" s="98"/>
      <c r="Z24" s="101"/>
    </row>
    <row r="25" spans="1:26" s="20" customFormat="1" ht="13.5" customHeight="1" x14ac:dyDescent="0.2">
      <c r="A25" s="79" t="s">
        <v>16</v>
      </c>
      <c r="B25" s="88" t="s">
        <v>149</v>
      </c>
      <c r="C25" s="153"/>
      <c r="D25" s="155"/>
      <c r="E25" s="156"/>
      <c r="F25" s="81"/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4"/>
    </row>
    <row r="26" spans="1:26" ht="22.5" x14ac:dyDescent="0.2">
      <c r="A26" s="70" t="s">
        <v>17</v>
      </c>
      <c r="B26" s="71" t="s">
        <v>150</v>
      </c>
      <c r="C26" s="89" t="str">
        <f>J1</f>
        <v>сен 2023</v>
      </c>
      <c r="D26" s="90" t="s">
        <v>1</v>
      </c>
      <c r="E26" s="89" t="str">
        <f>J1</f>
        <v>сен 2023</v>
      </c>
      <c r="F26" s="62">
        <f t="shared" ref="F26" si="7">ROUND(PRODUCT(H26:I26),4)</f>
        <v>1.0170999999999999</v>
      </c>
      <c r="G26" s="94">
        <f t="shared" ref="G26" si="8">ROUND(PRODUCT(J26:K26),4)</f>
        <v>1.0085</v>
      </c>
      <c r="H26" s="63">
        <f>H$2</f>
        <v>1.0085</v>
      </c>
      <c r="I26" s="63">
        <f>I$2</f>
        <v>1.0085</v>
      </c>
      <c r="J26" s="61">
        <f>J$2</f>
        <v>1.0085</v>
      </c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97"/>
      <c r="Z26" s="100"/>
    </row>
    <row r="27" spans="1:26" ht="22.5" x14ac:dyDescent="0.2">
      <c r="A27" s="51" t="s">
        <v>151</v>
      </c>
      <c r="B27" s="52" t="s">
        <v>156</v>
      </c>
      <c r="C27" s="89" t="str">
        <f>R1</f>
        <v>май 2024</v>
      </c>
      <c r="D27" s="58" t="s">
        <v>1</v>
      </c>
      <c r="E27" s="89" t="str">
        <f>S1</f>
        <v>июн 2024</v>
      </c>
      <c r="F27" s="62">
        <f>ROUND(PRODUCT(H27:Q27),4)</f>
        <v>1.0844</v>
      </c>
      <c r="G27" s="93">
        <f>ROUND(PRODUCT(R27),4)</f>
        <v>1.0076000000000001</v>
      </c>
      <c r="H27" s="63">
        <f t="shared" si="5"/>
        <v>1.0085</v>
      </c>
      <c r="I27" s="63">
        <f t="shared" si="5"/>
        <v>1.0085</v>
      </c>
      <c r="J27" s="63">
        <f t="shared" si="5"/>
        <v>1.0085</v>
      </c>
      <c r="K27" s="63">
        <f t="shared" si="5"/>
        <v>1.0085</v>
      </c>
      <c r="L27" s="63">
        <f t="shared" si="5"/>
        <v>1.0085</v>
      </c>
      <c r="M27" s="63">
        <f t="shared" si="5"/>
        <v>1.0085</v>
      </c>
      <c r="N27" s="63">
        <f t="shared" si="5"/>
        <v>1.0076000000000001</v>
      </c>
      <c r="O27" s="63">
        <f t="shared" si="5"/>
        <v>1.0076000000000001</v>
      </c>
      <c r="P27" s="63">
        <f t="shared" si="5"/>
        <v>1.0076000000000001</v>
      </c>
      <c r="Q27" s="63">
        <f t="shared" si="5"/>
        <v>1.0076000000000001</v>
      </c>
      <c r="R27" s="68">
        <f>R$2</f>
        <v>1.0076000000000001</v>
      </c>
      <c r="S27" s="68">
        <f>S$2</f>
        <v>1.0076000000000001</v>
      </c>
      <c r="T27" s="60"/>
      <c r="U27" s="60"/>
      <c r="V27" s="60"/>
      <c r="W27" s="60"/>
      <c r="X27" s="60"/>
      <c r="Y27" s="60"/>
      <c r="Z27" s="85"/>
    </row>
    <row r="28" spans="1:26" ht="45" x14ac:dyDescent="0.2">
      <c r="A28" s="64" t="s">
        <v>152</v>
      </c>
      <c r="B28" s="65" t="s">
        <v>157</v>
      </c>
      <c r="C28" s="89" t="str">
        <f>M1</f>
        <v>дек 2023</v>
      </c>
      <c r="D28" s="58" t="s">
        <v>1</v>
      </c>
      <c r="E28" s="89" t="str">
        <f>M1</f>
        <v>дек 2023</v>
      </c>
      <c r="F28" s="62">
        <f>ROUND(PRODUCT(H28:L28),4)</f>
        <v>1.0431999999999999</v>
      </c>
      <c r="G28" s="94">
        <f>ROUND(PRODUCT(M28:M28),4)</f>
        <v>1.0085</v>
      </c>
      <c r="H28" s="63">
        <f t="shared" si="5"/>
        <v>1.0085</v>
      </c>
      <c r="I28" s="63">
        <f t="shared" si="5"/>
        <v>1.0085</v>
      </c>
      <c r="J28" s="63">
        <f t="shared" si="5"/>
        <v>1.0085</v>
      </c>
      <c r="K28" s="63">
        <f t="shared" si="5"/>
        <v>1.0085</v>
      </c>
      <c r="L28" s="63">
        <f t="shared" si="5"/>
        <v>1.0085</v>
      </c>
      <c r="M28" s="68">
        <f>M$2</f>
        <v>1.0085</v>
      </c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86"/>
    </row>
    <row r="29" spans="1:26" ht="33.75" x14ac:dyDescent="0.2">
      <c r="A29" s="64" t="s">
        <v>153</v>
      </c>
      <c r="B29" s="65" t="s">
        <v>158</v>
      </c>
      <c r="C29" s="89" t="str">
        <f>T1</f>
        <v>июл 2024</v>
      </c>
      <c r="D29" s="58" t="s">
        <v>1</v>
      </c>
      <c r="E29" s="89" t="str">
        <f>U1</f>
        <v>авг 2024</v>
      </c>
      <c r="F29" s="62">
        <f>ROUND(PRODUCT(H29:S29),4)</f>
        <v>1.101</v>
      </c>
      <c r="G29" s="93">
        <f>ROUND(PRODUCT(T29:U29),4)</f>
        <v>1.0153000000000001</v>
      </c>
      <c r="H29" s="63">
        <f t="shared" si="5"/>
        <v>1.0085</v>
      </c>
      <c r="I29" s="63">
        <f t="shared" si="5"/>
        <v>1.0085</v>
      </c>
      <c r="J29" s="63">
        <f t="shared" si="5"/>
        <v>1.0085</v>
      </c>
      <c r="K29" s="63">
        <f t="shared" si="5"/>
        <v>1.0085</v>
      </c>
      <c r="L29" s="63">
        <f t="shared" si="5"/>
        <v>1.0085</v>
      </c>
      <c r="M29" s="63">
        <f t="shared" si="5"/>
        <v>1.0085</v>
      </c>
      <c r="N29" s="63">
        <f t="shared" si="5"/>
        <v>1.0076000000000001</v>
      </c>
      <c r="O29" s="63">
        <f t="shared" si="5"/>
        <v>1.0076000000000001</v>
      </c>
      <c r="P29" s="63">
        <f t="shared" si="5"/>
        <v>1.0076000000000001</v>
      </c>
      <c r="Q29" s="63">
        <f t="shared" si="5"/>
        <v>1.0076000000000001</v>
      </c>
      <c r="R29" s="63">
        <f t="shared" si="5"/>
        <v>1.0076000000000001</v>
      </c>
      <c r="S29" s="63">
        <f t="shared" si="5"/>
        <v>1.0076000000000001</v>
      </c>
      <c r="T29" s="68">
        <f>R$2</f>
        <v>1.0076000000000001</v>
      </c>
      <c r="U29" s="68">
        <f>S$2</f>
        <v>1.0076000000000001</v>
      </c>
      <c r="V29" s="69"/>
      <c r="W29" s="69"/>
      <c r="X29" s="69"/>
      <c r="Y29" s="69"/>
      <c r="Z29" s="86"/>
    </row>
    <row r="30" spans="1:26" ht="45" x14ac:dyDescent="0.2">
      <c r="A30" s="64" t="s">
        <v>154</v>
      </c>
      <c r="B30" s="107" t="s">
        <v>243</v>
      </c>
      <c r="C30" s="89"/>
      <c r="D30" s="58" t="s">
        <v>1</v>
      </c>
      <c r="E30" s="89"/>
      <c r="F30" s="92"/>
      <c r="G30" s="95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86"/>
    </row>
    <row r="31" spans="1:26" ht="45" x14ac:dyDescent="0.2">
      <c r="A31" s="64" t="s">
        <v>155</v>
      </c>
      <c r="B31" s="65" t="s">
        <v>159</v>
      </c>
      <c r="C31" s="89" t="str">
        <f>W1</f>
        <v>окт 2024</v>
      </c>
      <c r="D31" s="58" t="s">
        <v>1</v>
      </c>
      <c r="E31" s="89" t="str">
        <f>Y1</f>
        <v>дек 2024</v>
      </c>
      <c r="F31" s="62">
        <f>ROUND(PRODUCT(H31:V31),4)</f>
        <v>1.1263000000000001</v>
      </c>
      <c r="G31" s="104">
        <f>ROUND(PRODUCT(W31:Y31),4)</f>
        <v>1.0229999999999999</v>
      </c>
      <c r="H31" s="63">
        <f t="shared" si="5"/>
        <v>1.0085</v>
      </c>
      <c r="I31" s="63">
        <f t="shared" si="5"/>
        <v>1.0085</v>
      </c>
      <c r="J31" s="63">
        <f t="shared" si="5"/>
        <v>1.0085</v>
      </c>
      <c r="K31" s="63">
        <f t="shared" si="5"/>
        <v>1.0085</v>
      </c>
      <c r="L31" s="63">
        <f t="shared" si="5"/>
        <v>1.0085</v>
      </c>
      <c r="M31" s="63">
        <f t="shared" si="5"/>
        <v>1.0085</v>
      </c>
      <c r="N31" s="63">
        <f t="shared" si="5"/>
        <v>1.0076000000000001</v>
      </c>
      <c r="O31" s="63">
        <f t="shared" si="5"/>
        <v>1.0076000000000001</v>
      </c>
      <c r="P31" s="63">
        <f t="shared" si="5"/>
        <v>1.0076000000000001</v>
      </c>
      <c r="Q31" s="63">
        <f t="shared" si="5"/>
        <v>1.0076000000000001</v>
      </c>
      <c r="R31" s="63">
        <f t="shared" si="5"/>
        <v>1.0076000000000001</v>
      </c>
      <c r="S31" s="63">
        <f t="shared" si="5"/>
        <v>1.0076000000000001</v>
      </c>
      <c r="T31" s="63">
        <f t="shared" si="5"/>
        <v>1.0076000000000001</v>
      </c>
      <c r="U31" s="63">
        <f t="shared" si="5"/>
        <v>1.0076000000000001</v>
      </c>
      <c r="V31" s="63">
        <f t="shared" si="5"/>
        <v>1.0076000000000001</v>
      </c>
      <c r="W31" s="68">
        <f>U$2</f>
        <v>1.0076000000000001</v>
      </c>
      <c r="X31" s="68">
        <f>V$2</f>
        <v>1.0076000000000001</v>
      </c>
      <c r="Y31" s="68">
        <f>W$2</f>
        <v>1.0076000000000001</v>
      </c>
      <c r="Z31" s="86"/>
    </row>
    <row r="32" spans="1:26" s="20" customFormat="1" ht="13.5" customHeight="1" x14ac:dyDescent="0.2">
      <c r="A32" s="79" t="s">
        <v>18</v>
      </c>
      <c r="B32" s="88" t="s">
        <v>160</v>
      </c>
      <c r="C32" s="153"/>
      <c r="D32" s="155"/>
      <c r="E32" s="156"/>
      <c r="F32" s="81"/>
      <c r="G32" s="82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4"/>
    </row>
    <row r="33" spans="1:26" ht="45.75" customHeight="1" x14ac:dyDescent="0.2">
      <c r="A33" s="70" t="s">
        <v>19</v>
      </c>
      <c r="B33" s="71" t="s">
        <v>161</v>
      </c>
      <c r="C33" s="89" t="str">
        <f>J1</f>
        <v>сен 2023</v>
      </c>
      <c r="D33" s="90" t="s">
        <v>1</v>
      </c>
      <c r="E33" s="89" t="str">
        <f>Z1</f>
        <v>янв 2025</v>
      </c>
      <c r="F33" s="91">
        <f>ROUND(PRODUCT(H33:I33),4)</f>
        <v>1.0170999999999999</v>
      </c>
      <c r="G33" s="93">
        <f>ROUND(PRODUCT(J33:Z33),4)</f>
        <v>1.1435</v>
      </c>
      <c r="H33" s="63">
        <f t="shared" si="5"/>
        <v>1.0085</v>
      </c>
      <c r="I33" s="63">
        <f t="shared" si="5"/>
        <v>1.0085</v>
      </c>
      <c r="J33" s="68">
        <f>H$2</f>
        <v>1.0085</v>
      </c>
      <c r="K33" s="68">
        <f t="shared" ref="K33:Z33" si="9">I$2</f>
        <v>1.0085</v>
      </c>
      <c r="L33" s="68">
        <f t="shared" si="9"/>
        <v>1.0085</v>
      </c>
      <c r="M33" s="68">
        <f t="shared" si="9"/>
        <v>1.0085</v>
      </c>
      <c r="N33" s="68">
        <f t="shared" si="9"/>
        <v>1.0085</v>
      </c>
      <c r="O33" s="68">
        <f t="shared" si="9"/>
        <v>1.0085</v>
      </c>
      <c r="P33" s="68">
        <f t="shared" si="9"/>
        <v>1.0076000000000001</v>
      </c>
      <c r="Q33" s="68">
        <f t="shared" si="9"/>
        <v>1.0076000000000001</v>
      </c>
      <c r="R33" s="68">
        <f t="shared" si="9"/>
        <v>1.0076000000000001</v>
      </c>
      <c r="S33" s="68">
        <f t="shared" si="9"/>
        <v>1.0076000000000001</v>
      </c>
      <c r="T33" s="68">
        <f t="shared" si="9"/>
        <v>1.0076000000000001</v>
      </c>
      <c r="U33" s="68">
        <f t="shared" si="9"/>
        <v>1.0076000000000001</v>
      </c>
      <c r="V33" s="68">
        <f t="shared" si="9"/>
        <v>1.0076000000000001</v>
      </c>
      <c r="W33" s="68">
        <f t="shared" si="9"/>
        <v>1.0076000000000001</v>
      </c>
      <c r="X33" s="68">
        <f t="shared" si="9"/>
        <v>1.0076000000000001</v>
      </c>
      <c r="Y33" s="68">
        <f t="shared" si="9"/>
        <v>1.0076000000000001</v>
      </c>
      <c r="Z33" s="191">
        <f t="shared" si="9"/>
        <v>1.0076000000000001</v>
      </c>
    </row>
    <row r="34" spans="1:26" s="20" customFormat="1" ht="13.5" customHeight="1" x14ac:dyDescent="0.2">
      <c r="A34" s="79" t="s">
        <v>20</v>
      </c>
      <c r="B34" s="88" t="s">
        <v>162</v>
      </c>
      <c r="C34" s="153"/>
      <c r="D34" s="155"/>
      <c r="E34" s="156"/>
      <c r="F34" s="81"/>
      <c r="G34" s="8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67.5" x14ac:dyDescent="0.2">
      <c r="A35" s="70" t="s">
        <v>21</v>
      </c>
      <c r="B35" s="71" t="s">
        <v>163</v>
      </c>
      <c r="C35" s="89" t="str">
        <f>V1</f>
        <v>сен 2024</v>
      </c>
      <c r="D35" s="90" t="s">
        <v>1</v>
      </c>
      <c r="E35" s="89" t="str">
        <f>Z1</f>
        <v>янв 2025</v>
      </c>
      <c r="F35" s="62">
        <f>ROUND(PRODUCT(H35:U35),4)</f>
        <v>1.1177999999999999</v>
      </c>
      <c r="G35" s="93">
        <f>ROUND(PRODUCT(V35:Z35),4)</f>
        <v>1.0386</v>
      </c>
      <c r="H35" s="63">
        <f t="shared" si="5"/>
        <v>1.0085</v>
      </c>
      <c r="I35" s="63">
        <f t="shared" si="5"/>
        <v>1.0085</v>
      </c>
      <c r="J35" s="63">
        <f t="shared" si="5"/>
        <v>1.0085</v>
      </c>
      <c r="K35" s="63">
        <f t="shared" si="5"/>
        <v>1.0085</v>
      </c>
      <c r="L35" s="63">
        <f t="shared" si="5"/>
        <v>1.0085</v>
      </c>
      <c r="M35" s="63">
        <f t="shared" si="5"/>
        <v>1.0085</v>
      </c>
      <c r="N35" s="63">
        <f t="shared" si="5"/>
        <v>1.0076000000000001</v>
      </c>
      <c r="O35" s="63">
        <f t="shared" si="5"/>
        <v>1.0076000000000001</v>
      </c>
      <c r="P35" s="63">
        <f t="shared" si="5"/>
        <v>1.0076000000000001</v>
      </c>
      <c r="Q35" s="63">
        <f t="shared" si="5"/>
        <v>1.0076000000000001</v>
      </c>
      <c r="R35" s="63">
        <f t="shared" si="5"/>
        <v>1.0076000000000001</v>
      </c>
      <c r="S35" s="63">
        <f t="shared" si="5"/>
        <v>1.0076000000000001</v>
      </c>
      <c r="T35" s="63">
        <f t="shared" si="5"/>
        <v>1.0076000000000001</v>
      </c>
      <c r="U35" s="63">
        <f t="shared" si="5"/>
        <v>1.0076000000000001</v>
      </c>
      <c r="V35" s="68">
        <f>T$2</f>
        <v>1.0076000000000001</v>
      </c>
      <c r="W35" s="68">
        <f>U$2</f>
        <v>1.0076000000000001</v>
      </c>
      <c r="X35" s="68">
        <f>V$2</f>
        <v>1.0076000000000001</v>
      </c>
      <c r="Y35" s="68">
        <f>W$2</f>
        <v>1.0076000000000001</v>
      </c>
      <c r="Z35" s="191">
        <f>X$2</f>
        <v>1.0076000000000001</v>
      </c>
    </row>
    <row r="36" spans="1:26" s="20" customFormat="1" ht="13.5" customHeight="1" x14ac:dyDescent="0.2">
      <c r="A36" s="79" t="s">
        <v>67</v>
      </c>
      <c r="B36" s="88" t="s">
        <v>164</v>
      </c>
      <c r="C36" s="153"/>
      <c r="D36" s="155"/>
      <c r="E36" s="156"/>
      <c r="F36" s="81"/>
      <c r="G36" s="82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4"/>
    </row>
    <row r="37" spans="1:26" ht="56.25" x14ac:dyDescent="0.2">
      <c r="A37" s="70" t="s">
        <v>69</v>
      </c>
      <c r="B37" s="71" t="s">
        <v>165</v>
      </c>
      <c r="C37" s="89" t="str">
        <f>W1</f>
        <v>окт 2024</v>
      </c>
      <c r="D37" s="90" t="s">
        <v>1</v>
      </c>
      <c r="E37" s="89" t="str">
        <f>Z1</f>
        <v>янв 2025</v>
      </c>
      <c r="F37" s="62">
        <f>ROUND(PRODUCT(H37:V37),4)</f>
        <v>1.1263000000000001</v>
      </c>
      <c r="G37" s="93">
        <f>ROUND(PRODUCT(W37:Z37),4)</f>
        <v>1.0306999999999999</v>
      </c>
      <c r="H37" s="63">
        <f t="shared" si="5"/>
        <v>1.0085</v>
      </c>
      <c r="I37" s="63">
        <f t="shared" si="5"/>
        <v>1.0085</v>
      </c>
      <c r="J37" s="63">
        <f t="shared" si="5"/>
        <v>1.0085</v>
      </c>
      <c r="K37" s="63">
        <f t="shared" si="5"/>
        <v>1.0085</v>
      </c>
      <c r="L37" s="63">
        <f t="shared" si="5"/>
        <v>1.0085</v>
      </c>
      <c r="M37" s="63">
        <f t="shared" si="5"/>
        <v>1.0085</v>
      </c>
      <c r="N37" s="63">
        <f t="shared" si="5"/>
        <v>1.0076000000000001</v>
      </c>
      <c r="O37" s="63">
        <f t="shared" si="5"/>
        <v>1.0076000000000001</v>
      </c>
      <c r="P37" s="63">
        <f t="shared" si="5"/>
        <v>1.0076000000000001</v>
      </c>
      <c r="Q37" s="63">
        <f t="shared" si="5"/>
        <v>1.0076000000000001</v>
      </c>
      <c r="R37" s="63">
        <f t="shared" si="5"/>
        <v>1.0076000000000001</v>
      </c>
      <c r="S37" s="63">
        <f t="shared" si="5"/>
        <v>1.0076000000000001</v>
      </c>
      <c r="T37" s="63">
        <f t="shared" si="5"/>
        <v>1.0076000000000001</v>
      </c>
      <c r="U37" s="63">
        <f t="shared" si="5"/>
        <v>1.0076000000000001</v>
      </c>
      <c r="V37" s="63">
        <f t="shared" si="5"/>
        <v>1.0076000000000001</v>
      </c>
      <c r="W37" s="68">
        <f>U$2</f>
        <v>1.0076000000000001</v>
      </c>
      <c r="X37" s="68">
        <f>V$2</f>
        <v>1.0076000000000001</v>
      </c>
      <c r="Y37" s="68">
        <f>W$2</f>
        <v>1.0076000000000001</v>
      </c>
      <c r="Z37" s="191">
        <f>X$2</f>
        <v>1.0076000000000001</v>
      </c>
    </row>
    <row r="38" spans="1:26" s="20" customFormat="1" ht="13.5" customHeight="1" x14ac:dyDescent="0.2">
      <c r="A38" s="79" t="s">
        <v>166</v>
      </c>
      <c r="B38" s="88" t="s">
        <v>169</v>
      </c>
      <c r="C38" s="153"/>
      <c r="D38" s="155"/>
      <c r="E38" s="156"/>
      <c r="F38" s="81"/>
      <c r="G38" s="8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4"/>
    </row>
    <row r="39" spans="1:26" ht="22.5" x14ac:dyDescent="0.2">
      <c r="A39" s="70" t="s">
        <v>168</v>
      </c>
      <c r="B39" s="71" t="s">
        <v>167</v>
      </c>
      <c r="C39" s="89" t="str">
        <f>Z1</f>
        <v>янв 2025</v>
      </c>
      <c r="D39" s="90" t="s">
        <v>1</v>
      </c>
      <c r="E39" s="89" t="str">
        <f>Z1</f>
        <v>янв 2025</v>
      </c>
      <c r="F39" s="62">
        <f>ROUND(PRODUCT(H39:Y39),4)</f>
        <v>1.1521999999999999</v>
      </c>
      <c r="G39" s="93">
        <f>ROUND(PRODUCT(Z39),4)</f>
        <v>1.0076000000000001</v>
      </c>
      <c r="H39" s="63">
        <f t="shared" si="5"/>
        <v>1.0085</v>
      </c>
      <c r="I39" s="63">
        <f t="shared" si="5"/>
        <v>1.0085</v>
      </c>
      <c r="J39" s="63">
        <f t="shared" si="5"/>
        <v>1.0085</v>
      </c>
      <c r="K39" s="63">
        <f t="shared" si="5"/>
        <v>1.0085</v>
      </c>
      <c r="L39" s="63">
        <f t="shared" si="5"/>
        <v>1.0085</v>
      </c>
      <c r="M39" s="63">
        <f t="shared" si="5"/>
        <v>1.0085</v>
      </c>
      <c r="N39" s="63">
        <f t="shared" si="5"/>
        <v>1.0076000000000001</v>
      </c>
      <c r="O39" s="63">
        <f t="shared" si="5"/>
        <v>1.0076000000000001</v>
      </c>
      <c r="P39" s="63">
        <f t="shared" si="5"/>
        <v>1.0076000000000001</v>
      </c>
      <c r="Q39" s="63">
        <f t="shared" si="5"/>
        <v>1.0076000000000001</v>
      </c>
      <c r="R39" s="63">
        <f t="shared" si="5"/>
        <v>1.0076000000000001</v>
      </c>
      <c r="S39" s="63">
        <f t="shared" si="5"/>
        <v>1.0076000000000001</v>
      </c>
      <c r="T39" s="63">
        <f t="shared" si="5"/>
        <v>1.0076000000000001</v>
      </c>
      <c r="U39" s="63">
        <f t="shared" si="5"/>
        <v>1.0076000000000001</v>
      </c>
      <c r="V39" s="63">
        <f t="shared" si="5"/>
        <v>1.0076000000000001</v>
      </c>
      <c r="W39" s="63">
        <f t="shared" si="5"/>
        <v>1.0076000000000001</v>
      </c>
      <c r="X39" s="63">
        <f t="shared" si="5"/>
        <v>1.0076000000000001</v>
      </c>
      <c r="Y39" s="63">
        <f t="shared" si="5"/>
        <v>1.0076000000000001</v>
      </c>
      <c r="Z39" s="191">
        <f>X$2</f>
        <v>1.0076000000000001</v>
      </c>
    </row>
    <row r="40" spans="1:26" s="20" customFormat="1" ht="13.5" hidden="1" customHeight="1" x14ac:dyDescent="0.2">
      <c r="A40" s="79" t="s">
        <v>170</v>
      </c>
      <c r="B40" s="88" t="s">
        <v>171</v>
      </c>
      <c r="C40" s="153"/>
      <c r="D40" s="155"/>
      <c r="E40" s="156"/>
      <c r="F40" s="81"/>
      <c r="G40" s="82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33.75" hidden="1" x14ac:dyDescent="0.2">
      <c r="A41" s="70" t="s">
        <v>173</v>
      </c>
      <c r="B41" s="71" t="s">
        <v>172</v>
      </c>
      <c r="C41" s="72"/>
      <c r="D41" s="90" t="s">
        <v>1</v>
      </c>
      <c r="E41" s="90"/>
      <c r="F41" s="91"/>
      <c r="G41" s="9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spans="1:26" s="20" customFormat="1" ht="13.5" customHeight="1" x14ac:dyDescent="0.2">
      <c r="A42" s="79" t="s">
        <v>68</v>
      </c>
      <c r="B42" s="88" t="s">
        <v>174</v>
      </c>
      <c r="C42" s="153"/>
      <c r="D42" s="155"/>
      <c r="E42" s="156"/>
      <c r="F42" s="81"/>
      <c r="G42" s="82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4"/>
    </row>
    <row r="43" spans="1:26" ht="68.25" customHeight="1" x14ac:dyDescent="0.2">
      <c r="A43" s="108" t="s">
        <v>175</v>
      </c>
      <c r="B43" s="109" t="s">
        <v>176</v>
      </c>
      <c r="C43" s="110"/>
      <c r="D43" s="157" t="s">
        <v>1</v>
      </c>
      <c r="E43" s="157"/>
      <c r="F43" s="111"/>
      <c r="G43" s="112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4"/>
      <c r="Z43" s="115"/>
    </row>
  </sheetData>
  <mergeCells count="1">
    <mergeCell ref="B2:G2"/>
  </mergeCells>
  <pageMargins left="0.31496062992125984" right="0.31496062992125984" top="0.55118110236220474" bottom="0.15748031496062992" header="0.11811023622047245" footer="0.11811023622047245"/>
  <pageSetup paperSize="9" scale="90" orientation="landscape" r:id="rId1"/>
  <rowBreaks count="1" manualBreakCount="1">
    <brk id="24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Смета услуги заказчика</vt:lpstr>
      <vt:lpstr>график</vt:lpstr>
      <vt:lpstr>график!Заголовки_для_печати</vt:lpstr>
      <vt:lpstr>график!Область_печати</vt:lpstr>
      <vt:lpstr>'Смета услуги заказчика'!Область_печати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Гарбар</cp:lastModifiedBy>
  <cp:lastPrinted>2023-08-23T07:14:35Z</cp:lastPrinted>
  <dcterms:created xsi:type="dcterms:W3CDTF">2018-04-24T07:17:11Z</dcterms:created>
  <dcterms:modified xsi:type="dcterms:W3CDTF">2024-01-04T05:44:14Z</dcterms:modified>
</cp:coreProperties>
</file>