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920" activeTab="1"/>
  </bookViews>
  <sheets>
    <sheet name="Смета услуги заказчика" sheetId="20" r:id="rId1"/>
    <sheet name="график" sheetId="16" r:id="rId2"/>
  </sheets>
  <definedNames>
    <definedName name="_xlnm.Print_Titles" localSheetId="1">график!$1:$1</definedName>
    <definedName name="_xlnm.Print_Area" localSheetId="1">график!$A$1:$Z$43</definedName>
    <definedName name="_xlnm.Print_Area" localSheetId="0">'Смета услуги заказчика'!$A$1:$BH$309</definedName>
  </definedNames>
  <calcPr calcId="114210" fullCalcOnLoad="1"/>
</workbook>
</file>

<file path=xl/calcChain.xml><?xml version="1.0" encoding="utf-8"?>
<calcChain xmlns="http://schemas.openxmlformats.org/spreadsheetml/2006/main">
  <c r="Z43" i="16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G39"/>
  <c r="F39"/>
  <c r="G37"/>
  <c r="F37"/>
  <c r="G35"/>
  <c r="F35"/>
  <c r="G33"/>
  <c r="F33"/>
  <c r="G31"/>
  <c r="F31"/>
  <c r="G29"/>
  <c r="F29"/>
  <c r="G28"/>
  <c r="F28"/>
  <c r="G27"/>
  <c r="F27"/>
  <c r="G26"/>
  <c r="F26"/>
  <c r="G24"/>
  <c r="F24"/>
  <c r="G23"/>
  <c r="F23"/>
  <c r="G22"/>
  <c r="F22"/>
  <c r="G21"/>
  <c r="F21"/>
  <c r="G20"/>
  <c r="F20"/>
  <c r="G19"/>
  <c r="F19"/>
  <c r="G18"/>
  <c r="F18"/>
  <c r="G16"/>
  <c r="F16"/>
  <c r="G14"/>
  <c r="F14"/>
  <c r="G13"/>
  <c r="F13"/>
  <c r="G11"/>
  <c r="F11"/>
  <c r="G10"/>
  <c r="F10"/>
  <c r="G9"/>
  <c r="F9"/>
  <c r="G8"/>
  <c r="F8"/>
  <c r="G6"/>
  <c r="F6"/>
  <c r="G5"/>
  <c r="F5"/>
  <c r="G4"/>
  <c r="F4"/>
  <c r="G30"/>
  <c r="F30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Z8"/>
  <c r="Y8"/>
  <c r="X8"/>
  <c r="W8"/>
  <c r="V8"/>
  <c r="U8"/>
  <c r="T8"/>
  <c r="S8"/>
  <c r="R8"/>
  <c r="Q8"/>
  <c r="P8"/>
  <c r="O8"/>
  <c r="N8"/>
  <c r="M8"/>
  <c r="L8"/>
  <c r="K8"/>
  <c r="J8"/>
  <c r="I8"/>
  <c r="H8"/>
  <c r="M6"/>
  <c r="N6"/>
  <c r="O6"/>
  <c r="P6"/>
  <c r="Q6"/>
  <c r="R6"/>
  <c r="S6"/>
  <c r="T6"/>
  <c r="U6"/>
  <c r="V6"/>
  <c r="W6"/>
  <c r="X6"/>
  <c r="Y6"/>
  <c r="Z6"/>
  <c r="M5"/>
  <c r="N5"/>
  <c r="O5"/>
  <c r="P5"/>
  <c r="Q5"/>
  <c r="R5"/>
  <c r="S5"/>
  <c r="T5"/>
  <c r="U5"/>
  <c r="V5"/>
  <c r="W5"/>
  <c r="X5"/>
  <c r="Y5"/>
  <c r="Z5"/>
  <c r="M4"/>
  <c r="N4"/>
  <c r="O4"/>
  <c r="P4"/>
  <c r="Q4"/>
  <c r="R4"/>
  <c r="S4"/>
  <c r="T4"/>
  <c r="U4"/>
  <c r="V4"/>
  <c r="W4"/>
  <c r="X4"/>
  <c r="Y4"/>
  <c r="Z4"/>
  <c r="L6"/>
  <c r="K6"/>
  <c r="J6"/>
  <c r="I6"/>
  <c r="H6"/>
  <c r="L5"/>
  <c r="K5"/>
  <c r="J5"/>
  <c r="I5"/>
  <c r="H5"/>
  <c r="I4"/>
  <c r="J4"/>
  <c r="K4"/>
  <c r="L4"/>
  <c r="H4"/>
  <c r="AB124" i="20"/>
  <c r="C166"/>
  <c r="AH141"/>
  <c r="BA141"/>
  <c r="C297"/>
  <c r="A297"/>
  <c r="C296"/>
  <c r="A296"/>
  <c r="BK308"/>
  <c r="BK307"/>
  <c r="BK306"/>
  <c r="BK309"/>
  <c r="BK305"/>
  <c r="BA292"/>
  <c r="AB292"/>
  <c r="BA286"/>
  <c r="AN286"/>
  <c r="BA285"/>
  <c r="AN285"/>
  <c r="BA284"/>
  <c r="AB284"/>
  <c r="BA267"/>
  <c r="AB267"/>
  <c r="BA261"/>
  <c r="AN261"/>
  <c r="BA260"/>
  <c r="AN260"/>
  <c r="BA259"/>
  <c r="AB259"/>
  <c r="E35" i="16"/>
  <c r="AH239" i="20"/>
  <c r="AH231"/>
  <c r="BA242"/>
  <c r="AB242"/>
  <c r="BA236"/>
  <c r="AN236"/>
  <c r="BA235"/>
  <c r="AN235"/>
  <c r="BA234"/>
  <c r="AB234"/>
  <c r="E33" i="16"/>
  <c r="AH214" i="20"/>
  <c r="AL129"/>
  <c r="AL128"/>
  <c r="BA217"/>
  <c r="AB217"/>
  <c r="BA211"/>
  <c r="AN211"/>
  <c r="BA210"/>
  <c r="AN210"/>
  <c r="BA209"/>
  <c r="AB209"/>
  <c r="BA110"/>
  <c r="AB110"/>
  <c r="AN104"/>
  <c r="BA104"/>
  <c r="BA103"/>
  <c r="AN103"/>
  <c r="AB102"/>
  <c r="C39" i="16"/>
  <c r="AB273" i="20"/>
  <c r="E39" i="16"/>
  <c r="AH273" i="20"/>
  <c r="AB289"/>
  <c r="C272"/>
  <c r="A272"/>
  <c r="C271"/>
  <c r="A271"/>
  <c r="C247"/>
  <c r="A247"/>
  <c r="C246"/>
  <c r="A246"/>
  <c r="E37" i="16"/>
  <c r="AH264" i="20"/>
  <c r="C37" i="16"/>
  <c r="AB248" i="20"/>
  <c r="AH223"/>
  <c r="C222"/>
  <c r="A222"/>
  <c r="C221"/>
  <c r="A221"/>
  <c r="C35" i="16"/>
  <c r="AB239" i="20"/>
  <c r="AH198"/>
  <c r="C33" i="16"/>
  <c r="AB198" i="20"/>
  <c r="AH206"/>
  <c r="AB206"/>
  <c r="AW206"/>
  <c r="AP214"/>
  <c r="C197"/>
  <c r="A197"/>
  <c r="C196"/>
  <c r="A196"/>
  <c r="C31" i="16"/>
  <c r="AB189" i="20"/>
  <c r="C188"/>
  <c r="A188"/>
  <c r="AJ192"/>
  <c r="BA191"/>
  <c r="BA192"/>
  <c r="BJ192"/>
  <c r="AO308"/>
  <c r="C184"/>
  <c r="A184"/>
  <c r="BA186"/>
  <c r="AO307"/>
  <c r="C180"/>
  <c r="A180"/>
  <c r="BA182"/>
  <c r="C28" i="16"/>
  <c r="AB177" i="20"/>
  <c r="C176"/>
  <c r="A176"/>
  <c r="BA178"/>
  <c r="C170"/>
  <c r="A170"/>
  <c r="AJ174"/>
  <c r="BA173"/>
  <c r="BA174"/>
  <c r="BJ174"/>
  <c r="AO306"/>
  <c r="AW167"/>
  <c r="A166"/>
  <c r="BA168"/>
  <c r="E31" i="16"/>
  <c r="AH189" i="20"/>
  <c r="E29" i="16"/>
  <c r="AH181" i="20"/>
  <c r="C29" i="16"/>
  <c r="AB181" i="20"/>
  <c r="E28" i="16"/>
  <c r="AH177" i="20"/>
  <c r="E27" i="16"/>
  <c r="AH171" i="20"/>
  <c r="C27" i="16"/>
  <c r="AB171" i="20"/>
  <c r="E26" i="16"/>
  <c r="AH167" i="20"/>
  <c r="C26" i="16"/>
  <c r="AB167" i="20"/>
  <c r="C165"/>
  <c r="A165"/>
  <c r="AW189"/>
  <c r="AP189"/>
  <c r="AP181"/>
  <c r="AW177"/>
  <c r="AW171"/>
  <c r="AP167"/>
  <c r="AW158"/>
  <c r="C157"/>
  <c r="A157"/>
  <c r="BA161"/>
  <c r="AB161"/>
  <c r="E23" i="16"/>
  <c r="AH152" i="20"/>
  <c r="C151"/>
  <c r="A151"/>
  <c r="BA155"/>
  <c r="AB155"/>
  <c r="C145"/>
  <c r="A145"/>
  <c r="BA149"/>
  <c r="AB149"/>
  <c r="AN142"/>
  <c r="AW137"/>
  <c r="E21" i="16"/>
  <c r="AH137" i="20"/>
  <c r="BA142"/>
  <c r="AB140"/>
  <c r="C136"/>
  <c r="A136"/>
  <c r="E20" i="16"/>
  <c r="AH133" i="20"/>
  <c r="C132"/>
  <c r="A132"/>
  <c r="BA134"/>
  <c r="E19" i="16"/>
  <c r="AH127" i="20"/>
  <c r="C126"/>
  <c r="A126"/>
  <c r="C18" i="16"/>
  <c r="AB116" i="20"/>
  <c r="E24" i="16"/>
  <c r="AH158" i="20"/>
  <c r="C24" i="16"/>
  <c r="AB158" i="20"/>
  <c r="C23" i="16"/>
  <c r="AB152" i="20"/>
  <c r="E22" i="16"/>
  <c r="AH146" i="20"/>
  <c r="C22" i="16"/>
  <c r="AB146" i="20"/>
  <c r="C21" i="16"/>
  <c r="AB137" i="20"/>
  <c r="C20" i="16"/>
  <c r="AB133" i="20"/>
  <c r="C19" i="16"/>
  <c r="AB127" i="20"/>
  <c r="E18" i="16"/>
  <c r="AH116" i="20"/>
  <c r="AB121"/>
  <c r="AP158"/>
  <c r="AW152"/>
  <c r="AW146"/>
  <c r="AP146"/>
  <c r="AP137"/>
  <c r="AP127"/>
  <c r="AW127"/>
  <c r="AP133"/>
  <c r="AW133"/>
  <c r="D120"/>
  <c r="AB119"/>
  <c r="A117"/>
  <c r="C115"/>
  <c r="A115"/>
  <c r="C114"/>
  <c r="A114"/>
  <c r="C16" i="16"/>
  <c r="AB91" i="20"/>
  <c r="BC34"/>
  <c r="E16" i="16"/>
  <c r="AH91" i="20"/>
  <c r="AB107"/>
  <c r="AP239"/>
  <c r="AP231"/>
  <c r="AP223"/>
  <c r="AW121"/>
  <c r="AW116"/>
  <c r="AW223"/>
  <c r="AW239"/>
  <c r="AB243"/>
  <c r="AW231"/>
  <c r="AP264"/>
  <c r="AP256"/>
  <c r="AP248"/>
  <c r="AP289"/>
  <c r="AW289"/>
  <c r="BA293"/>
  <c r="AP281"/>
  <c r="AP273"/>
  <c r="AW273"/>
  <c r="AW281"/>
  <c r="AW248"/>
  <c r="AW264"/>
  <c r="AB268"/>
  <c r="AW256"/>
  <c r="AP121"/>
  <c r="AP116"/>
  <c r="AP171"/>
  <c r="BA175"/>
  <c r="AP177"/>
  <c r="BA179"/>
  <c r="AW198"/>
  <c r="AB223"/>
  <c r="AH248"/>
  <c r="AH99"/>
  <c r="AH107"/>
  <c r="AH121"/>
  <c r="AW214"/>
  <c r="AP152"/>
  <c r="AB156"/>
  <c r="AP206"/>
  <c r="AB130"/>
  <c r="AB214"/>
  <c r="AB231"/>
  <c r="AB256"/>
  <c r="AB264"/>
  <c r="AB281"/>
  <c r="AN141"/>
  <c r="AH281"/>
  <c r="AH289"/>
  <c r="AH256"/>
  <c r="AW181"/>
  <c r="AB183"/>
  <c r="AP198"/>
  <c r="AB99"/>
  <c r="BJ286"/>
  <c r="BA287"/>
  <c r="BA130"/>
  <c r="AB131"/>
  <c r="BJ261"/>
  <c r="BA262"/>
  <c r="BA268"/>
  <c r="BA124"/>
  <c r="BJ236"/>
  <c r="BA237"/>
  <c r="BA243"/>
  <c r="BJ211"/>
  <c r="BA212"/>
  <c r="BA218"/>
  <c r="AB218"/>
  <c r="BJ104"/>
  <c r="BA102"/>
  <c r="BA194"/>
  <c r="BA193"/>
  <c r="BA308"/>
  <c r="BA183"/>
  <c r="AB193"/>
  <c r="BA187"/>
  <c r="BA307"/>
  <c r="AB179"/>
  <c r="BA169"/>
  <c r="AB169"/>
  <c r="BA162"/>
  <c r="BA150"/>
  <c r="AB162"/>
  <c r="BA156"/>
  <c r="AB150"/>
  <c r="BA140"/>
  <c r="BA119"/>
  <c r="BA135"/>
  <c r="AB135"/>
  <c r="AB293"/>
  <c r="AB175"/>
  <c r="BA125"/>
  <c r="BA131"/>
  <c r="AB287"/>
  <c r="AB288"/>
  <c r="BA288"/>
  <c r="AB262"/>
  <c r="BA306"/>
  <c r="AB237"/>
  <c r="BA263"/>
  <c r="AB263"/>
  <c r="BA238"/>
  <c r="AB238"/>
  <c r="AB125"/>
  <c r="BA213"/>
  <c r="AB213"/>
  <c r="AB212"/>
  <c r="BA105"/>
  <c r="AB105"/>
  <c r="BA195"/>
  <c r="BJ142"/>
  <c r="AB143"/>
  <c r="AB120"/>
  <c r="BA120"/>
  <c r="BA143"/>
  <c r="BA163"/>
  <c r="AB144"/>
  <c r="BA144"/>
  <c r="BA164"/>
  <c r="C90"/>
  <c r="A90"/>
  <c r="C89"/>
  <c r="A89"/>
  <c r="C83"/>
  <c r="A83"/>
  <c r="BA85"/>
  <c r="AW80"/>
  <c r="E13" i="16"/>
  <c r="AH80" i="20"/>
  <c r="C13" i="16"/>
  <c r="AB80" i="20"/>
  <c r="C79"/>
  <c r="A79"/>
  <c r="BA81"/>
  <c r="E14" i="16"/>
  <c r="AH84" i="20"/>
  <c r="C14" i="16"/>
  <c r="AB84" i="20"/>
  <c r="AP84"/>
  <c r="AW84"/>
  <c r="AP80"/>
  <c r="C78"/>
  <c r="A78"/>
  <c r="C70"/>
  <c r="A70"/>
  <c r="C64"/>
  <c r="A64"/>
  <c r="C58"/>
  <c r="A58"/>
  <c r="AW107"/>
  <c r="AW99"/>
  <c r="AW91"/>
  <c r="AP107"/>
  <c r="AP99"/>
  <c r="AP91"/>
  <c r="BA87"/>
  <c r="BA86"/>
  <c r="AB86"/>
  <c r="AB82"/>
  <c r="BA82"/>
  <c r="D57"/>
  <c r="E11" i="16"/>
  <c r="AH71" i="20"/>
  <c r="C11" i="16"/>
  <c r="AB71" i="20"/>
  <c r="E10" i="16"/>
  <c r="AH65" i="20"/>
  <c r="C10" i="16"/>
  <c r="AB65" i="20"/>
  <c r="E9" i="16"/>
  <c r="AH59" i="20"/>
  <c r="C9" i="16"/>
  <c r="AB59" i="20"/>
  <c r="E8" i="16"/>
  <c r="AH53" i="20"/>
  <c r="C8" i="16"/>
  <c r="AB53" i="20"/>
  <c r="AW71"/>
  <c r="AW65"/>
  <c r="AW59"/>
  <c r="AW53"/>
  <c r="AP65"/>
  <c r="AP53"/>
  <c r="C52"/>
  <c r="A52"/>
  <c r="C51"/>
  <c r="AP71"/>
  <c r="BA111"/>
  <c r="AB111"/>
  <c r="AP59"/>
  <c r="AB106"/>
  <c r="BA106"/>
  <c r="D205"/>
  <c r="AN203"/>
  <c r="D230"/>
  <c r="D255"/>
  <c r="D280"/>
  <c r="BA203"/>
  <c r="BA88"/>
  <c r="D75"/>
  <c r="D69"/>
  <c r="D63"/>
  <c r="BA56"/>
  <c r="BA57"/>
  <c r="AB56"/>
  <c r="C37"/>
  <c r="C45"/>
  <c r="A45"/>
  <c r="BA47"/>
  <c r="E5" i="16"/>
  <c r="AH42" i="20"/>
  <c r="C41"/>
  <c r="A41"/>
  <c r="BA43"/>
  <c r="C4" i="16"/>
  <c r="AB38" i="20"/>
  <c r="E4" i="16"/>
  <c r="AH38" i="20"/>
  <c r="A37"/>
  <c r="BA39"/>
  <c r="AO304"/>
  <c r="AP46"/>
  <c r="AW38"/>
  <c r="C6" i="16"/>
  <c r="AB46" i="20"/>
  <c r="E6" i="16"/>
  <c r="AH46" i="20"/>
  <c r="C5" i="16"/>
  <c r="AB42" i="20"/>
  <c r="AP42"/>
  <c r="AW46"/>
  <c r="AW42"/>
  <c r="AP38"/>
  <c r="AU19"/>
  <c r="AU18"/>
  <c r="AL19"/>
  <c r="AZ19"/>
  <c r="AL18"/>
  <c r="AZ18"/>
  <c r="BK303"/>
  <c r="BK304"/>
  <c r="D98"/>
  <c r="AH202"/>
  <c r="BA202"/>
  <c r="BJ203"/>
  <c r="BA201"/>
  <c r="AB201"/>
  <c r="AB251"/>
  <c r="BA253"/>
  <c r="AN253"/>
  <c r="BA251"/>
  <c r="AH252"/>
  <c r="AN278"/>
  <c r="AH277"/>
  <c r="BA276"/>
  <c r="BA278"/>
  <c r="AB276"/>
  <c r="AN228"/>
  <c r="BA228"/>
  <c r="AH227"/>
  <c r="BA226"/>
  <c r="AB226"/>
  <c r="AB57"/>
  <c r="BA74"/>
  <c r="AB74"/>
  <c r="AB62"/>
  <c r="BA62"/>
  <c r="AB68"/>
  <c r="BA68"/>
  <c r="AB40"/>
  <c r="BA40"/>
  <c r="BA304"/>
  <c r="BA48"/>
  <c r="AB48"/>
  <c r="AB44"/>
  <c r="BA44"/>
  <c r="BA49"/>
  <c r="BE18"/>
  <c r="BE19"/>
  <c r="BC318"/>
  <c r="BC315"/>
  <c r="BA96"/>
  <c r="AH95"/>
  <c r="BA95"/>
  <c r="AN96"/>
  <c r="AB94"/>
  <c r="BA94"/>
  <c r="BA204"/>
  <c r="BA219"/>
  <c r="AN202"/>
  <c r="BA277"/>
  <c r="BJ278"/>
  <c r="BA279"/>
  <c r="BA294"/>
  <c r="AN277"/>
  <c r="BA227"/>
  <c r="BJ228"/>
  <c r="BA229"/>
  <c r="BA244"/>
  <c r="AN227"/>
  <c r="BA252"/>
  <c r="BJ253"/>
  <c r="BA254"/>
  <c r="BA269"/>
  <c r="AN252"/>
  <c r="AB204"/>
  <c r="AB75"/>
  <c r="BA75"/>
  <c r="BA63"/>
  <c r="AB63"/>
  <c r="BA76"/>
  <c r="AO305"/>
  <c r="AB69"/>
  <c r="BA69"/>
  <c r="BA50"/>
  <c r="AQ313"/>
  <c r="AQ314"/>
  <c r="BJ96"/>
  <c r="AB97"/>
  <c r="AN95"/>
  <c r="BA97"/>
  <c r="BA112"/>
  <c r="AO303"/>
  <c r="AO309"/>
  <c r="BA205"/>
  <c r="BA220"/>
  <c r="AB205"/>
  <c r="AB229"/>
  <c r="BA255"/>
  <c r="BA270"/>
  <c r="AB255"/>
  <c r="BA280"/>
  <c r="BA295"/>
  <c r="AB280"/>
  <c r="AB230"/>
  <c r="BA230"/>
  <c r="BA245"/>
  <c r="AB279"/>
  <c r="AB254"/>
  <c r="BA77"/>
  <c r="BA305"/>
  <c r="AB98"/>
  <c r="BA98"/>
  <c r="BA113"/>
  <c r="AN298"/>
  <c r="BA303"/>
  <c r="BA300"/>
  <c r="AB300"/>
  <c r="BA302"/>
  <c r="BA309"/>
</calcChain>
</file>

<file path=xl/sharedStrings.xml><?xml version="1.0" encoding="utf-8"?>
<sst xmlns="http://schemas.openxmlformats.org/spreadsheetml/2006/main" count="1457" uniqueCount="266">
  <si>
    <t>1.1</t>
  </si>
  <si>
    <t>-</t>
  </si>
  <si>
    <t>1.2</t>
  </si>
  <si>
    <t>2</t>
  </si>
  <si>
    <t>2.1</t>
  </si>
  <si>
    <t>2.2</t>
  </si>
  <si>
    <t>2.3</t>
  </si>
  <si>
    <t>2.4</t>
  </si>
  <si>
    <t>3</t>
  </si>
  <si>
    <t>3.1</t>
  </si>
  <si>
    <t>3.2</t>
  </si>
  <si>
    <t>4</t>
  </si>
  <si>
    <t>4.1</t>
  </si>
  <si>
    <t>5</t>
  </si>
  <si>
    <t>5.1</t>
  </si>
  <si>
    <t>5.2</t>
  </si>
  <si>
    <t>6</t>
  </si>
  <si>
    <t>6.1</t>
  </si>
  <si>
    <t>7</t>
  </si>
  <si>
    <t>7.1</t>
  </si>
  <si>
    <t>8</t>
  </si>
  <si>
    <t>8.1</t>
  </si>
  <si>
    <t>НЗТ</t>
  </si>
  <si>
    <t>руб.</t>
  </si>
  <si>
    <t>5.3</t>
  </si>
  <si>
    <t>60-квартирный жилой дом</t>
  </si>
  <si>
    <t>Хозяйственно-бытовая канализация диаметром 160 мм</t>
  </si>
  <si>
    <t>Расчет</t>
  </si>
  <si>
    <t>=</t>
  </si>
  <si>
    <t>«Многоквартирный жилой дом с инженерной и транспортной инфраструктурой»</t>
  </si>
  <si>
    <t>II степень сложности</t>
  </si>
  <si>
    <t>№</t>
  </si>
  <si>
    <t>Обоснование</t>
  </si>
  <si>
    <t>Результат</t>
  </si>
  <si>
    <t>Должность исполнителя</t>
  </si>
  <si>
    <t>Доля участия</t>
  </si>
  <si>
    <t>Итого:</t>
  </si>
  <si>
    <t>инженер I категории</t>
  </si>
  <si>
    <t>инженер II категории</t>
  </si>
  <si>
    <r>
      <t>X</t>
    </r>
    <r>
      <rPr>
        <vertAlign val="subscript"/>
        <sz val="8"/>
        <color indexed="8"/>
        <rFont val="Calibri"/>
        <family val="2"/>
        <charset val="204"/>
      </rPr>
      <t>мин</t>
    </r>
  </si>
  <si>
    <r>
      <t>НЗТ</t>
    </r>
    <r>
      <rPr>
        <vertAlign val="subscript"/>
        <sz val="8"/>
        <color indexed="8"/>
        <rFont val="Calibri"/>
        <family val="2"/>
        <charset val="204"/>
      </rPr>
      <t>мин</t>
    </r>
  </si>
  <si>
    <r>
      <t>X</t>
    </r>
    <r>
      <rPr>
        <vertAlign val="subscript"/>
        <sz val="8"/>
        <color indexed="8"/>
        <rFont val="Calibri"/>
        <family val="2"/>
        <charset val="204"/>
      </rPr>
      <t>мин+1</t>
    </r>
  </si>
  <si>
    <r>
      <t>НЗТ</t>
    </r>
    <r>
      <rPr>
        <vertAlign val="subscript"/>
        <sz val="8"/>
        <color indexed="8"/>
        <rFont val="Calibri"/>
        <family val="2"/>
        <charset val="204"/>
      </rPr>
      <t>мин+1</t>
    </r>
  </si>
  <si>
    <r>
      <t>X</t>
    </r>
    <r>
      <rPr>
        <vertAlign val="subscript"/>
        <sz val="8"/>
        <color indexed="8"/>
        <rFont val="Calibri"/>
        <family val="2"/>
        <charset val="204"/>
      </rPr>
      <t>макс</t>
    </r>
  </si>
  <si>
    <r>
      <t>НЗТ</t>
    </r>
    <r>
      <rPr>
        <vertAlign val="subscript"/>
        <sz val="8"/>
        <color indexed="8"/>
        <rFont val="Calibri"/>
        <family val="2"/>
        <charset val="204"/>
      </rPr>
      <t>макс</t>
    </r>
  </si>
  <si>
    <t>период:</t>
  </si>
  <si>
    <t>Затраты труда</t>
  </si>
  <si>
    <t>приложение № {1} к договору от {хх.хх.хххх} № {ххх}</t>
  </si>
  <si>
    <t>СОГЛАСОВАНО</t>
  </si>
  <si>
    <t>УТВЕРЖДЕНО</t>
  </si>
  <si>
    <t>{должность согласовывающего}</t>
  </si>
  <si>
    <t>{должность утверждающего}</t>
  </si>
  <si>
    <t>{Ф.И.О }</t>
  </si>
  <si>
    <t>подпись</t>
  </si>
  <si>
    <t>"</t>
  </si>
  <si>
    <t>г.</t>
  </si>
  <si>
    <t>Объект строительства:</t>
  </si>
  <si>
    <t>Заказчик:</t>
  </si>
  <si>
    <t>{заказчик}</t>
  </si>
  <si>
    <t>Смета составлена по состоянию на:</t>
  </si>
  <si>
    <t>Инженерная организация:</t>
  </si>
  <si>
    <t>{инженерная организация}</t>
  </si>
  <si>
    <t>1</t>
  </si>
  <si>
    <t>0,5</t>
  </si>
  <si>
    <t>100%</t>
  </si>
  <si>
    <t>2,5</t>
  </si>
  <si>
    <t>1,5</t>
  </si>
  <si>
    <t>9</t>
  </si>
  <si>
    <t>12</t>
  </si>
  <si>
    <t>9.1</t>
  </si>
  <si>
    <t>Характеристики объекта строительства</t>
  </si>
  <si>
    <t>Наименование натурального показателя</t>
  </si>
  <si>
    <t>Встроенный магазин</t>
  </si>
  <si>
    <t>Внеплощадочные инженерные сети и сооружения  к жилому многоквартирному дому:</t>
  </si>
  <si>
    <t>протяженность, км</t>
  </si>
  <si>
    <t xml:space="preserve">протяженность, м.п. </t>
  </si>
  <si>
    <t>Значение натураль-ного показателя</t>
  </si>
  <si>
    <t>Характеристики объекта инжиниринга, усложняющие (упрощающие) факторы</t>
  </si>
  <si>
    <t>Наименование услуги</t>
  </si>
  <si>
    <t>коэффициент многофункциональности</t>
  </si>
  <si>
    <t>на оказание услуг по организации и обеспечению строительства объекта 
в объеме функций заказчика, предусмотренных законодательством</t>
  </si>
  <si>
    <t>УСЛУГИ ПО ИНИЦИАЦИИ ПРОЕКТА</t>
  </si>
  <si>
    <t>обеспечение проработки инвестиционного замысла и выбора оптимального решения</t>
  </si>
  <si>
    <t>разработка и согласование задания на разработку предпроектной документации</t>
  </si>
  <si>
    <t>1.3</t>
  </si>
  <si>
    <t>Дата составления ССР:</t>
  </si>
  <si>
    <t>05.11.2023</t>
  </si>
  <si>
    <t>22.08.2023</t>
  </si>
  <si>
    <t>Установленная стоимость нормо-дня:</t>
  </si>
  <si>
    <t>по состоянию на:</t>
  </si>
  <si>
    <t>01.07.2023</t>
  </si>
  <si>
    <t>х</t>
  </si>
  <si>
    <r>
      <t>I</t>
    </r>
    <r>
      <rPr>
        <b/>
        <vertAlign val="subscript"/>
        <sz val="8"/>
        <color indexed="8"/>
        <rFont val="Calibri"/>
        <family val="2"/>
        <charset val="204"/>
      </rPr>
      <t>ССР</t>
    </r>
  </si>
  <si>
    <r>
      <t>НС</t>
    </r>
    <r>
      <rPr>
        <b/>
        <vertAlign val="subscript"/>
        <sz val="8"/>
        <color indexed="8"/>
        <rFont val="Calibri"/>
        <family val="2"/>
        <charset val="204"/>
      </rPr>
      <t>ССР</t>
    </r>
  </si>
  <si>
    <t xml:space="preserve">1,0067 х 1,0067 х 1,0067 х 1,0067  </t>
  </si>
  <si>
    <r>
      <t>I</t>
    </r>
    <r>
      <rPr>
        <b/>
        <vertAlign val="subscript"/>
        <sz val="8"/>
        <color indexed="8"/>
        <rFont val="Calibri"/>
        <family val="2"/>
        <charset val="204"/>
      </rPr>
      <t>З.ДОГ</t>
    </r>
  </si>
  <si>
    <t>01.09.2023</t>
  </si>
  <si>
    <t xml:space="preserve">1,0067 х 1,0067  </t>
  </si>
  <si>
    <t>Дата заключения договора:</t>
  </si>
  <si>
    <r>
      <t>НС</t>
    </r>
    <r>
      <rPr>
        <b/>
        <vertAlign val="subscript"/>
        <sz val="8"/>
        <color indexed="8"/>
        <rFont val="Calibri"/>
        <family val="2"/>
        <charset val="204"/>
      </rPr>
      <t>З.ДОГ</t>
    </r>
  </si>
  <si>
    <t>Прогнозные индексы стоимости прочих затрат с разбивкой по месяцам, доведенные Минстройархитектуры</t>
  </si>
  <si>
    <t>№ п/п</t>
  </si>
  <si>
    <t>разработка и согласование декларации о намерениях</t>
  </si>
  <si>
    <t>начало</t>
  </si>
  <si>
    <t>завер- шение</t>
  </si>
  <si>
    <t>группа функций заказчика</t>
  </si>
  <si>
    <r>
      <t>I</t>
    </r>
    <r>
      <rPr>
        <b/>
        <vertAlign val="subscript"/>
        <sz val="8"/>
        <rFont val="Calibri"/>
        <family val="2"/>
        <charset val="204"/>
      </rPr>
      <t>Н</t>
    </r>
  </si>
  <si>
    <r>
      <t>I</t>
    </r>
    <r>
      <rPr>
        <b/>
        <vertAlign val="subscript"/>
        <sz val="8"/>
        <rFont val="Calibri"/>
        <family val="2"/>
        <charset val="204"/>
      </rPr>
      <t>У</t>
    </r>
  </si>
  <si>
    <t>УСЛУГИ ПО РАЗРАБОТКЕ ПРЕДПРОЕКТНОЙ ДОКУМЕНТАЦИИ</t>
  </si>
  <si>
    <t>разработка и согласование обоснования инвестиций</t>
  </si>
  <si>
    <t>разработка и согласование плана управления проектом</t>
  </si>
  <si>
    <t>разработка и согласование бизнес-плана инвестиционного проекта</t>
  </si>
  <si>
    <t>разработка и согласование задания на проектирование</t>
  </si>
  <si>
    <t>УСЛУГИ ПО ПОЛУЧЕНИЮ ЗЕМЕЛЬНОГО УЧАСТКА И РАЗРЕШИТЕЛЬНОЙ ДОКУМЕНТАЦИИ</t>
  </si>
  <si>
    <t>организация процедуры получения земельного участка</t>
  </si>
  <si>
    <t>организация получения и анализа разрешительной документации</t>
  </si>
  <si>
    <t>обеспечение общего руководства проектированием и планированием строительства</t>
  </si>
  <si>
    <t>УСЛУГИ ПО ОРГАНИЗАЦИИ РАЗРАБОТКИ ДОКУМЕНТАЦИИ ПРОЕКТНОГО ОБЕСПЕЧЕНИЯ СТРОИТЕЛЬНОЙ ДЕЯТЕЛЬНОСТИ</t>
  </si>
  <si>
    <t>УСЛУГИ ПО ОСВОЕНИЮ СТРОИТЕЛЬНОЙ ПЛОЩАДКИ</t>
  </si>
  <si>
    <t>5.4</t>
  </si>
  <si>
    <t>5.5</t>
  </si>
  <si>
    <t>5.6</t>
  </si>
  <si>
    <t>5.7</t>
  </si>
  <si>
    <t>организация сноса и разборки существующих зданий и сооружений</t>
  </si>
  <si>
    <t>организация выноса (переноса) сооружений взамен сносимых</t>
  </si>
  <si>
    <t xml:space="preserve">организация реализации имущественных прав граждан и организаций при изъятии у них земельных участков </t>
  </si>
  <si>
    <t>организация мероприятий по удалению и (или) пересадке объектов растительного мира</t>
  </si>
  <si>
    <t>организация геодезических работ</t>
  </si>
  <si>
    <t>организация работ по инженерному обустройству строительной площадки</t>
  </si>
  <si>
    <t>организация передачи подрядчику обустроенной строительной площадки после её инженерного обустройства</t>
  </si>
  <si>
    <t>УСЛУГИ ПО УПРАВЛЕНИЮ ЗАКУПКАМИ</t>
  </si>
  <si>
    <t>организация выбора разработчика предпроектной документации</t>
  </si>
  <si>
    <t>6.2</t>
  </si>
  <si>
    <t>6.3</t>
  </si>
  <si>
    <t>6.4</t>
  </si>
  <si>
    <t>6.5</t>
  </si>
  <si>
    <t>6.6</t>
  </si>
  <si>
    <t>организация выбора поставщиков технологического оборудования</t>
  </si>
  <si>
    <t>организация выбора генеральной проектной организации (при генподрядной схеме разработки проектной документации)</t>
  </si>
  <si>
    <t>организация выбора генеральной подрядной организации (при генподрядной схеме строительства)</t>
  </si>
  <si>
    <t xml:space="preserve">организация выбора поставщиков строительных материалов, изделий, конструкций, мебели и оборудования в части обязательств заказчика </t>
  </si>
  <si>
    <t>УСЛУГИ ПО ФИНАНСИРОВАНИЮ СТРОИТЕЛЬСТВА, ФИНАНСОВОМУ КОНТРОЛЮ И УЧЕТУ В СТРОИТЕЛЬСТВЕ</t>
  </si>
  <si>
    <t>обеспечение финансирования строительства, осуществление финансового контроля за строительством и учет затрат заказчика (застройщика)</t>
  </si>
  <si>
    <t>УСЛУГИ ПО ОБЩЕМУ РУКОВОДСТВУ ПРИ ВЫПОЛНЕНИИ СТРОИТЕЛЬНЫХ, МОНТАЖНЫХ И ПУСКОНАЛАДОЧНЫХ РАБОТ</t>
  </si>
  <si>
    <t>участие в выполнении строительных, монтажных и пусконаладочных работ в части обязательств заказчика (застройщика) по заключенным договорам строительного подряда - общее руководство строительством</t>
  </si>
  <si>
    <t>УСЛУГИ ПО ТЕХНИЧЕСКОМУ НАДЗОРУ ЗА ВЫПОЛНЕНИЕМ СТРОИТЕЛЬНЫХ РАБОТ</t>
  </si>
  <si>
    <t>осуществление технического надзора за выполнением строительных, монтажных и пусконаладочных работ в объеме, предусмотренном действующим законодательством</t>
  </si>
  <si>
    <t>10</t>
  </si>
  <si>
    <t>организация приемки объекта в эксплуатацию</t>
  </si>
  <si>
    <t>10.1</t>
  </si>
  <si>
    <t>УСЛУГИ ПО ЗАВЕРШЕНИЮ СТРОИТЕЛЬСТВА И ПРИЕМКЕ ОБЪЕКТА В ЭКСПЛУАТАЦИЮ</t>
  </si>
  <si>
    <t>11</t>
  </si>
  <si>
    <t>УСЛУГИ ПО ОРГАНИЗАЦИИ СОЗДАНИЯ ОБЪЕКТОВ ДОЛЕВОГО СТРОИТЕЛЬСТВА С ПРИВЛЕЧЕНИЕМ СРЕДСТВ ДОЛЬЩИКОВ (ПРИ ДОЛЕВОМ СТРОИТЕЛЬСТВЕ)</t>
  </si>
  <si>
    <t>организация создания объектов долевого строительства с привлечением средств дольщиков</t>
  </si>
  <si>
    <t>11.1</t>
  </si>
  <si>
    <t>ИНЫЕ УСЛУГИ</t>
  </si>
  <si>
    <t>12.1</t>
  </si>
  <si>
    <t>иные услуги, обусловленные дополнительными обязанностями заказчика (застройщика) по заключенным договорам и поручениям государственных органов и организаций, не входящие в состав вышеуказанных</t>
  </si>
  <si>
    <r>
      <t>I</t>
    </r>
    <r>
      <rPr>
        <vertAlign val="subscript"/>
        <sz val="8"/>
        <color indexed="8"/>
        <rFont val="Calibri"/>
        <family val="2"/>
        <charset val="204"/>
      </rPr>
      <t>Н</t>
    </r>
  </si>
  <si>
    <r>
      <t>I</t>
    </r>
    <r>
      <rPr>
        <vertAlign val="subscript"/>
        <sz val="8"/>
        <color indexed="8"/>
        <rFont val="Calibri"/>
        <family val="2"/>
        <charset val="204"/>
      </rPr>
      <t>У</t>
    </r>
  </si>
  <si>
    <t/>
  </si>
  <si>
    <t xml:space="preserve">Приложение 2 МУ, табл. 2.1, поз. И020101а </t>
  </si>
  <si>
    <r>
      <t>Ц</t>
    </r>
    <r>
      <rPr>
        <vertAlign val="subscript"/>
        <sz val="8"/>
        <rFont val="Calibri"/>
        <family val="2"/>
        <charset val="204"/>
      </rPr>
      <t>ПР</t>
    </r>
  </si>
  <si>
    <t>ч-дн.</t>
  </si>
  <si>
    <t xml:space="preserve"> </t>
  </si>
  <si>
    <t>Индивидуальные НЗТ</t>
  </si>
  <si>
    <t>(расчет [И1])</t>
  </si>
  <si>
    <r>
      <t>Ц</t>
    </r>
    <r>
      <rPr>
        <b/>
        <vertAlign val="subscript"/>
        <sz val="8"/>
        <rFont val="Calibri"/>
        <family val="2"/>
        <charset val="204"/>
      </rPr>
      <t>ПР</t>
    </r>
  </si>
  <si>
    <t xml:space="preserve">Приложение 2 МУ, табл. 2.2, поз. И020201а </t>
  </si>
  <si>
    <t>Приложение 2 МУ, табл. 2.3, поз. И020301</t>
  </si>
  <si>
    <r>
      <t>Х</t>
    </r>
    <r>
      <rPr>
        <vertAlign val="subscript"/>
        <sz val="8"/>
        <color indexed="8"/>
        <rFont val="Calibri"/>
        <family val="2"/>
        <charset val="204"/>
      </rPr>
      <t>ОБ</t>
    </r>
  </si>
  <si>
    <t>ИНТЕРПОЛЯЦИЯ</t>
  </si>
  <si>
    <t>Приложение 2 МУ, табл. 2.3, поз. И020301 (20%)</t>
  </si>
  <si>
    <r>
      <t>УВ</t>
    </r>
    <r>
      <rPr>
        <vertAlign val="subscript"/>
        <sz val="8"/>
        <color indexed="8"/>
        <rFont val="Calibri"/>
        <family val="2"/>
        <charset val="204"/>
      </rPr>
      <t>НЗТ</t>
    </r>
  </si>
  <si>
    <t>Приложение 2 МУ, табл. 2.3, поз. И020301 (65%)</t>
  </si>
  <si>
    <t>Приложение 2 МУ, табл. 2.3, поз. И020301 (19%)</t>
  </si>
  <si>
    <t>ИНТЕРПОЛЯЦИЯ + %</t>
  </si>
  <si>
    <t xml:space="preserve">Приложение 3 МУ, табл. 3.5, поз. И030503а </t>
  </si>
  <si>
    <t>(здание третьего класса сложности К-3)</t>
  </si>
  <si>
    <r>
      <t xml:space="preserve">60-квартирный жилой дом со встроенным магазином </t>
    </r>
    <r>
      <rPr>
        <i/>
        <sz val="8"/>
        <color indexed="8"/>
        <rFont val="Calibri"/>
        <family val="2"/>
        <charset val="204"/>
      </rPr>
      <t>(жилой дом)</t>
    </r>
  </si>
  <si>
    <t xml:space="preserve">Приложение 3 МУ, табл. 3.6, поз. И030503а </t>
  </si>
  <si>
    <t>СНЗТ И1-2023, табл. 3.1, поз. И130101</t>
  </si>
  <si>
    <r>
      <t>К</t>
    </r>
    <r>
      <rPr>
        <vertAlign val="subscript"/>
        <sz val="8"/>
        <color indexed="8"/>
        <rFont val="Calibri"/>
        <family val="2"/>
        <charset val="204"/>
      </rPr>
      <t>И1.301</t>
    </r>
  </si>
  <si>
    <r>
      <t>К</t>
    </r>
    <r>
      <rPr>
        <vertAlign val="subscript"/>
        <sz val="8"/>
        <color indexed="8"/>
        <rFont val="Calibri"/>
        <family val="2"/>
        <charset val="204"/>
      </rPr>
      <t>И1.304</t>
    </r>
  </si>
  <si>
    <r>
      <t>Х</t>
    </r>
    <r>
      <rPr>
        <vertAlign val="subscript"/>
        <sz val="8"/>
        <color indexed="8"/>
        <rFont val="Calibri"/>
        <family val="2"/>
        <charset val="204"/>
      </rPr>
      <t>УФ</t>
    </r>
  </si>
  <si>
    <t>к-т многофункциональности</t>
  </si>
  <si>
    <t>Итого по группе 1:</t>
  </si>
  <si>
    <t>Итого по группе 2:</t>
  </si>
  <si>
    <t>Итого по группе 3:</t>
  </si>
  <si>
    <r>
      <t>К</t>
    </r>
    <r>
      <rPr>
        <vertAlign val="subscript"/>
        <sz val="8"/>
        <color indexed="8"/>
        <rFont val="Calibri"/>
        <family val="2"/>
        <charset val="204"/>
      </rPr>
      <t>Ф</t>
    </r>
  </si>
  <si>
    <r>
      <t>НЗТ</t>
    </r>
    <r>
      <rPr>
        <vertAlign val="subscript"/>
        <sz val="8"/>
        <rFont val="Calibri"/>
        <family val="2"/>
        <charset val="204"/>
      </rPr>
      <t>УФ</t>
    </r>
  </si>
  <si>
    <t>Итого по группе 4:</t>
  </si>
  <si>
    <t xml:space="preserve">Приложение 1 МУ, табл. 1.1 </t>
  </si>
  <si>
    <t>стоимость сноса, тыс.руб.</t>
  </si>
  <si>
    <t>экстраполяция вниз</t>
  </si>
  <si>
    <t>Удаление и пересадка объектов растительного  мира</t>
  </si>
  <si>
    <t>площадь участка, га</t>
  </si>
  <si>
    <t>Приложение 2 МУ, табл. 2.5, поз. И020501</t>
  </si>
  <si>
    <t>отсутствие вредного возд. на  животный мир</t>
  </si>
  <si>
    <r>
      <t>К</t>
    </r>
    <r>
      <rPr>
        <vertAlign val="subscript"/>
        <sz val="8"/>
        <color indexed="8"/>
        <rFont val="Calibri"/>
        <family val="2"/>
        <charset val="204"/>
      </rPr>
      <t>И0.201</t>
    </r>
  </si>
  <si>
    <t>плотность растений 150-300 на 1 га</t>
  </si>
  <si>
    <t>плотность растений 
150-300 единиц на площади 0,6  Га</t>
  </si>
  <si>
    <t>Приложение 2 МУ, табл. 2.6, поз. И020601</t>
  </si>
  <si>
    <t>объект жилищно-гражданского назначения</t>
  </si>
  <si>
    <t>любой объект строительства</t>
  </si>
  <si>
    <t>Приложение 2 МУ, табл. 2.7, поз. И020701</t>
  </si>
  <si>
    <t>Приложение 2 МУ, табл. 2.8, поз. И020801</t>
  </si>
  <si>
    <t>Итого по группе 5:</t>
  </si>
  <si>
    <t>предельная стоимость строительства
 от 1 000 до 10 000 тыс. руб.</t>
  </si>
  <si>
    <t xml:space="preserve">Приложение 3 МУ, табл. 3.1, поз. И030102а </t>
  </si>
  <si>
    <t xml:space="preserve">Приложение 3 МУ, табл. 3.3, поз. И030301а </t>
  </si>
  <si>
    <t>ориентировочная стоимость закупки 
до 1 000 тыс. руб.</t>
  </si>
  <si>
    <t>оригинальные технич. характеристики</t>
  </si>
  <si>
    <t>тыс.руб.</t>
  </si>
  <si>
    <t>количество процедур закупок:</t>
  </si>
  <si>
    <t xml:space="preserve">Приложение 3 МУ, табл. 3.2, поз. И030102а </t>
  </si>
  <si>
    <t xml:space="preserve">Приложение 3 МУ, табл. 3.4, поз. И030401а </t>
  </si>
  <si>
    <t>ориентировочная стоимость закупки 
от 100 до 1000 тыс. руб.</t>
  </si>
  <si>
    <t>организация процедуры переговоров</t>
  </si>
  <si>
    <t>Итого по группе 6:</t>
  </si>
  <si>
    <t>Итого по группе 7:</t>
  </si>
  <si>
    <t>Итого по группе 8:</t>
  </si>
  <si>
    <t>Итого по группе 9:</t>
  </si>
  <si>
    <t>Итого по группе 10:</t>
  </si>
  <si>
    <t>организация выбора подрядных организаций на выполнение отдельных видов работ, услуг (при подрядной схеме строительства)</t>
  </si>
  <si>
    <r>
      <t>м</t>
    </r>
    <r>
      <rPr>
        <vertAlign val="superscript"/>
        <sz val="8"/>
        <rFont val="Calibri"/>
        <family val="2"/>
        <charset val="204"/>
      </rPr>
      <t>2</t>
    </r>
    <r>
      <rPr>
        <sz val="8"/>
        <rFont val="Calibri"/>
        <family val="2"/>
        <charset val="204"/>
      </rPr>
      <t xml:space="preserve"> чистой площади</t>
    </r>
  </si>
  <si>
    <t>хозяйственно-бытовая канализация диаметром 160 мм</t>
  </si>
  <si>
    <t>СНЗТ И2-2023, табл. 2.2, поз. И220201</t>
  </si>
  <si>
    <t>искусственное основание</t>
  </si>
  <si>
    <t>участки с уклоном поверхности свыше 30%</t>
  </si>
  <si>
    <r>
      <t>К</t>
    </r>
    <r>
      <rPr>
        <vertAlign val="subscript"/>
        <sz val="8"/>
        <color indexed="8"/>
        <rFont val="Calibri"/>
        <family val="2"/>
        <charset val="204"/>
      </rPr>
      <t>И2.103</t>
    </r>
  </si>
  <si>
    <t>исскуственное 
основание -100м; 
уклон более 30%  - 60м</t>
  </si>
  <si>
    <t>местный проезд</t>
  </si>
  <si>
    <t xml:space="preserve">Местный проезд </t>
  </si>
  <si>
    <t>СНЗТ И2-2023, табл. 2.1, поз. И220102</t>
  </si>
  <si>
    <t>метров</t>
  </si>
  <si>
    <t>километров</t>
  </si>
  <si>
    <t>кв. метров</t>
  </si>
  <si>
    <t>снос выносимой сети водопровода</t>
  </si>
  <si>
    <t>(расчет [И2])</t>
  </si>
  <si>
    <t>СНЗТ И4-2023, табл. 2.1, поз. И420112</t>
  </si>
  <si>
    <t>Вынос сети водопровода диаметром 250 мм</t>
  </si>
  <si>
    <t>Расчет индивидуальных НЗТ</t>
  </si>
  <si>
    <t>И1</t>
  </si>
  <si>
    <t>И2</t>
  </si>
  <si>
    <t>п.31.1 гл. 10 ССР</t>
  </si>
  <si>
    <t>гл. 1 ССР</t>
  </si>
  <si>
    <t>затраты, не предусматриваемые в ССР</t>
  </si>
  <si>
    <t>затраты, связанные с получением исходных данных, гл.1 ССР</t>
  </si>
  <si>
    <t>затраты, отражаемые в п. 31.3  гл.10 ССР</t>
  </si>
  <si>
    <t>затраты, учтенные в стоимости технологического оборудования в гл. 2-7 ССР</t>
  </si>
  <si>
    <t>затраты, учтенные в стоимости работ, услуг по гл. 1-10 ССР</t>
  </si>
  <si>
    <t>затраты, учтенные в стоимости матералов, изделий, конструкц. по гл. 2-7 ССР</t>
  </si>
  <si>
    <t>80% от стоимость по группам 3-5, 7-9</t>
  </si>
  <si>
    <t>ИТОГО ПО КАЛЬКУЛЯЦИИ (СМЕТЕ)</t>
  </si>
  <si>
    <t>Итого по группе 11:</t>
  </si>
  <si>
    <t>с тоимость по группам 3-5, 7-9</t>
  </si>
  <si>
    <r>
      <t>N</t>
    </r>
    <r>
      <rPr>
        <vertAlign val="superscript"/>
        <sz val="8"/>
        <rFont val="Calibri"/>
        <family val="2"/>
        <charset val="204"/>
      </rPr>
      <t>11</t>
    </r>
  </si>
  <si>
    <t>КАЛЬКУЛЯЦИЯ (СМЕТА) №</t>
  </si>
  <si>
    <r>
      <t>Снос одноэтажного  жилого дома 105 м</t>
    </r>
    <r>
      <rPr>
        <vertAlign val="superscript"/>
        <sz val="8"/>
        <rFont val="Calibri"/>
        <family val="2"/>
        <charset val="204"/>
      </rPr>
      <t xml:space="preserve">2 </t>
    </r>
    <r>
      <rPr>
        <sz val="8"/>
        <rFont val="Calibri"/>
        <family val="2"/>
        <charset val="204"/>
      </rPr>
      <t>чистой площади</t>
    </r>
  </si>
  <si>
    <t>не пред. в ССР</t>
  </si>
  <si>
    <t>возведение водопровода диаметром 250 мм взамен выносимого</t>
  </si>
  <si>
    <t xml:space="preserve">учт. в ст-ти предпр. </t>
  </si>
  <si>
    <t xml:space="preserve">учт. в ст-ти оборуд. </t>
  </si>
  <si>
    <t>учт. в ст-ти соотв. работ, услуг</t>
  </si>
  <si>
    <t>учт. в ст-ти мат.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</si>
</sst>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0.0"/>
    <numFmt numFmtId="165" formatCode="0.0%"/>
    <numFmt numFmtId="166" formatCode="0.0000"/>
    <numFmt numFmtId="167" formatCode="#,##0.0"/>
    <numFmt numFmtId="169" formatCode="mmm\ yyyy"/>
  </numFmts>
  <fonts count="25">
    <font>
      <sz val="10"/>
      <name val="Arial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vertAlign val="subscript"/>
      <sz val="8"/>
      <color indexed="8"/>
      <name val="Calibri"/>
      <family val="2"/>
      <charset val="204"/>
    </font>
    <font>
      <sz val="5"/>
      <color indexed="8"/>
      <name val="Calibri"/>
      <family val="2"/>
      <charset val="204"/>
    </font>
    <font>
      <i/>
      <sz val="6"/>
      <color indexed="23"/>
      <name val="Calibri"/>
      <family val="2"/>
      <charset val="204"/>
    </font>
    <font>
      <i/>
      <sz val="8"/>
      <color indexed="18"/>
      <name val="Calibri"/>
      <family val="2"/>
      <charset val="204"/>
    </font>
    <font>
      <sz val="8"/>
      <color indexed="10"/>
      <name val="Calibri"/>
      <family val="2"/>
      <charset val="204"/>
    </font>
    <font>
      <b/>
      <sz val="8"/>
      <name val="Calibri"/>
      <family val="2"/>
      <charset val="204"/>
    </font>
    <font>
      <sz val="7"/>
      <color indexed="8"/>
      <name val="Calibri"/>
      <family val="2"/>
      <charset val="204"/>
    </font>
    <font>
      <vertAlign val="subscript"/>
      <sz val="8"/>
      <name val="Calibri"/>
      <family val="2"/>
      <charset val="204"/>
    </font>
    <font>
      <b/>
      <vertAlign val="subscript"/>
      <sz val="8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8"/>
      <color indexed="8"/>
      <name val="Calibri"/>
      <family val="2"/>
      <charset val="204"/>
    </font>
    <font>
      <b/>
      <vertAlign val="subscript"/>
      <sz val="8"/>
      <name val="Calibri"/>
      <family val="2"/>
      <charset val="204"/>
    </font>
    <font>
      <i/>
      <sz val="8"/>
      <color indexed="8"/>
      <name val="Calibri"/>
      <family val="2"/>
      <charset val="204"/>
    </font>
    <font>
      <b/>
      <i/>
      <sz val="8"/>
      <color indexed="8"/>
      <name val="Calibri"/>
      <family val="2"/>
      <charset val="204"/>
    </font>
    <font>
      <b/>
      <sz val="8"/>
      <color indexed="56"/>
      <name val="Calibri"/>
      <family val="2"/>
      <charset val="204"/>
    </font>
    <font>
      <vertAlign val="superscript"/>
      <sz val="8"/>
      <name val="Calibri"/>
      <family val="2"/>
      <charset val="204"/>
    </font>
    <font>
      <sz val="8"/>
      <name val="Arial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1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4" fillId="0" borderId="0"/>
    <xf numFmtId="43" fontId="2" fillId="0" borderId="0" applyFont="0" applyFill="0" applyBorder="0" applyAlignment="0" applyProtection="0"/>
  </cellStyleXfs>
  <cellXfs count="453">
    <xf numFmtId="0" fontId="0" fillId="0" borderId="0" xfId="0"/>
    <xf numFmtId="49" fontId="6" fillId="0" borderId="0" xfId="2" applyNumberFormat="1" applyFont="1" applyBorder="1"/>
    <xf numFmtId="49" fontId="5" fillId="0" borderId="0" xfId="2" applyNumberFormat="1" applyFont="1" applyBorder="1"/>
    <xf numFmtId="0" fontId="6" fillId="0" borderId="0" xfId="2" applyFont="1" applyBorder="1"/>
    <xf numFmtId="49" fontId="8" fillId="0" borderId="0" xfId="2" applyNumberFormat="1" applyFont="1" applyBorder="1"/>
    <xf numFmtId="0" fontId="8" fillId="0" borderId="0" xfId="2" applyFont="1" applyBorder="1"/>
    <xf numFmtId="49" fontId="5" fillId="0" borderId="0" xfId="2" applyNumberFormat="1" applyFont="1" applyBorder="1" applyAlignment="1"/>
    <xf numFmtId="49" fontId="6" fillId="0" borderId="0" xfId="2" quotePrefix="1" applyNumberFormat="1" applyFont="1" applyBorder="1"/>
    <xf numFmtId="0" fontId="6" fillId="0" borderId="0" xfId="2" applyFont="1" applyBorder="1" applyAlignment="1">
      <alignment horizontal="left"/>
    </xf>
    <xf numFmtId="0" fontId="0" fillId="0" borderId="0" xfId="0" applyAlignment="1">
      <alignment wrapText="1"/>
    </xf>
    <xf numFmtId="1" fontId="0" fillId="0" borderId="0" xfId="0" applyNumberFormat="1" applyAlignment="1">
      <alignment vertical="center"/>
    </xf>
    <xf numFmtId="0" fontId="6" fillId="0" borderId="0" xfId="2" applyNumberFormat="1" applyFont="1" applyBorder="1"/>
    <xf numFmtId="49" fontId="6" fillId="0" borderId="0" xfId="2" applyNumberFormat="1" applyFont="1" applyFill="1" applyBorder="1" applyAlignment="1">
      <alignment horizontal="right" vertical="center"/>
    </xf>
    <xf numFmtId="49" fontId="4" fillId="0" borderId="0" xfId="2" applyNumberFormat="1" applyFont="1" applyBorder="1"/>
    <xf numFmtId="0" fontId="4" fillId="0" borderId="0" xfId="2" applyFont="1" applyBorder="1"/>
    <xf numFmtId="49" fontId="6" fillId="0" borderId="1" xfId="2" applyNumberFormat="1" applyFont="1" applyBorder="1" applyAlignment="1"/>
    <xf numFmtId="49" fontId="6" fillId="0" borderId="2" xfId="2" applyNumberFormat="1" applyFont="1" applyBorder="1" applyAlignment="1"/>
    <xf numFmtId="49" fontId="6" fillId="0" borderId="2" xfId="2" applyNumberFormat="1" applyFont="1" applyBorder="1"/>
    <xf numFmtId="49" fontId="6" fillId="0" borderId="3" xfId="2" applyNumberFormat="1" applyFont="1" applyBorder="1"/>
    <xf numFmtId="49" fontId="6" fillId="0" borderId="0" xfId="2" applyNumberFormat="1" applyFont="1" applyBorder="1" applyAlignment="1"/>
    <xf numFmtId="0" fontId="0" fillId="2" borderId="0" xfId="0" applyFill="1"/>
    <xf numFmtId="2" fontId="6" fillId="0" borderId="4" xfId="2" applyNumberFormat="1" applyFont="1" applyFill="1" applyBorder="1" applyAlignment="1">
      <alignment horizontal="center" vertical="center"/>
    </xf>
    <xf numFmtId="49" fontId="6" fillId="0" borderId="5" xfId="2" applyNumberFormat="1" applyFont="1" applyBorder="1" applyAlignment="1">
      <alignment horizontal="right" vertical="center"/>
    </xf>
    <xf numFmtId="14" fontId="13" fillId="3" borderId="0" xfId="2" applyNumberFormat="1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/>
    </xf>
    <xf numFmtId="0" fontId="6" fillId="0" borderId="0" xfId="2" applyFont="1" applyBorder="1" applyAlignment="1"/>
    <xf numFmtId="2" fontId="6" fillId="0" borderId="0" xfId="2" applyNumberFormat="1" applyFont="1" applyBorder="1" applyAlignment="1">
      <alignment horizontal="center"/>
    </xf>
    <xf numFmtId="2" fontId="6" fillId="0" borderId="0" xfId="2" applyNumberFormat="1" applyFont="1" applyFill="1" applyBorder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right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5" fillId="0" borderId="0" xfId="2" applyNumberFormat="1" applyFont="1" applyBorder="1" applyAlignment="1">
      <alignment horizontal="right"/>
    </xf>
    <xf numFmtId="49" fontId="6" fillId="0" borderId="0" xfId="2" applyNumberFormat="1" applyFont="1" applyBorder="1" applyAlignment="1">
      <alignment horizontal="left"/>
    </xf>
    <xf numFmtId="49" fontId="6" fillId="0" borderId="0" xfId="2" applyNumberFormat="1" applyFont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center" vertical="center"/>
    </xf>
    <xf numFmtId="0" fontId="13" fillId="0" borderId="4" xfId="2" applyFont="1" applyBorder="1" applyAlignment="1">
      <alignment horizontal="left"/>
    </xf>
    <xf numFmtId="49" fontId="12" fillId="0" borderId="0" xfId="2" applyNumberFormat="1" applyFont="1" applyBorder="1" applyAlignment="1">
      <alignment horizontal="right"/>
    </xf>
    <xf numFmtId="49" fontId="12" fillId="0" borderId="0" xfId="2" applyNumberFormat="1" applyFont="1" applyBorder="1" applyAlignment="1"/>
    <xf numFmtId="49" fontId="4" fillId="0" borderId="0" xfId="2" applyNumberFormat="1" applyFont="1" applyBorder="1" applyAlignment="1">
      <alignment horizontal="left"/>
    </xf>
    <xf numFmtId="2" fontId="4" fillId="0" borderId="4" xfId="2" applyNumberFormat="1" applyFont="1" applyFill="1" applyBorder="1" applyAlignment="1">
      <alignment horizontal="left" vertical="center"/>
    </xf>
    <xf numFmtId="2" fontId="4" fillId="0" borderId="7" xfId="2" applyNumberFormat="1" applyFont="1" applyFill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49" fontId="6" fillId="0" borderId="0" xfId="2" applyNumberFormat="1" applyFont="1" applyBorder="1" applyAlignment="1">
      <alignment horizontal="center"/>
    </xf>
    <xf numFmtId="49" fontId="6" fillId="0" borderId="0" xfId="2" quotePrefix="1" applyNumberFormat="1" applyFont="1" applyBorder="1" applyAlignment="1">
      <alignment horizontal="center" vertical="center" wrapText="1"/>
    </xf>
    <xf numFmtId="49" fontId="10" fillId="0" borderId="0" xfId="2" applyNumberFormat="1" applyFont="1" applyBorder="1" applyAlignment="1">
      <alignment vertical="center"/>
    </xf>
    <xf numFmtId="0" fontId="13" fillId="0" borderId="0" xfId="2" applyFont="1" applyBorder="1" applyAlignment="1"/>
    <xf numFmtId="0" fontId="0" fillId="4" borderId="0" xfId="0" applyFill="1"/>
    <xf numFmtId="1" fontId="4" fillId="4" borderId="9" xfId="0" applyNumberFormat="1" applyFont="1" applyFill="1" applyBorder="1" applyAlignment="1">
      <alignment vertical="center"/>
    </xf>
    <xf numFmtId="1" fontId="4" fillId="0" borderId="10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" fontId="12" fillId="5" borderId="12" xfId="0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vertical="center"/>
    </xf>
    <xf numFmtId="1" fontId="4" fillId="0" borderId="13" xfId="0" applyNumberFormat="1" applyFont="1" applyBorder="1" applyAlignment="1">
      <alignment horizontal="right" vertical="center"/>
    </xf>
    <xf numFmtId="2" fontId="4" fillId="0" borderId="15" xfId="0" applyNumberFormat="1" applyFont="1" applyBorder="1" applyAlignment="1">
      <alignment wrapText="1"/>
    </xf>
    <xf numFmtId="1" fontId="4" fillId="0" borderId="16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wrapText="1"/>
    </xf>
    <xf numFmtId="0" fontId="6" fillId="3" borderId="17" xfId="2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9" xfId="0" applyFont="1" applyFill="1" applyBorder="1"/>
    <xf numFmtId="49" fontId="12" fillId="2" borderId="20" xfId="0" applyNumberFormat="1" applyFont="1" applyFill="1" applyBorder="1" applyAlignment="1">
      <alignment horizontal="right" vertical="center" wrapText="1"/>
    </xf>
    <xf numFmtId="2" fontId="12" fillId="2" borderId="18" xfId="0" applyNumberFormat="1" applyFont="1" applyFill="1" applyBorder="1" applyAlignment="1">
      <alignment vertical="center" wrapText="1"/>
    </xf>
    <xf numFmtId="14" fontId="17" fillId="6" borderId="18" xfId="0" applyNumberFormat="1" applyFont="1" applyFill="1" applyBorder="1" applyAlignment="1">
      <alignment horizontal="center" vertical="center" wrapText="1"/>
    </xf>
    <xf numFmtId="1" fontId="17" fillId="6" borderId="18" xfId="0" applyNumberFormat="1" applyFont="1" applyFill="1" applyBorder="1" applyAlignment="1">
      <alignment vertical="center" wrapText="1"/>
    </xf>
    <xf numFmtId="49" fontId="17" fillId="6" borderId="18" xfId="0" applyNumberFormat="1" applyFont="1" applyFill="1" applyBorder="1" applyAlignment="1">
      <alignment vertical="center" wrapText="1"/>
    </xf>
    <xf numFmtId="49" fontId="17" fillId="6" borderId="19" xfId="0" applyNumberFormat="1" applyFont="1" applyFill="1" applyBorder="1" applyAlignment="1">
      <alignment vertical="center" wrapText="1"/>
    </xf>
    <xf numFmtId="2" fontId="12" fillId="2" borderId="18" xfId="0" applyNumberFormat="1" applyFont="1" applyFill="1" applyBorder="1" applyAlignment="1">
      <alignment vertical="center"/>
    </xf>
    <xf numFmtId="0" fontId="6" fillId="3" borderId="17" xfId="2" applyNumberFormat="1" applyFont="1" applyFill="1" applyBorder="1" applyAlignment="1">
      <alignment horizontal="center" vertical="center"/>
    </xf>
    <xf numFmtId="166" fontId="6" fillId="4" borderId="17" xfId="2" applyNumberFormat="1" applyFont="1" applyFill="1" applyBorder="1" applyAlignment="1">
      <alignment vertical="center"/>
    </xf>
    <xf numFmtId="166" fontId="6" fillId="4" borderId="15" xfId="2" applyNumberFormat="1" applyFont="1" applyFill="1" applyBorder="1" applyAlignment="1">
      <alignment vertical="center"/>
    </xf>
    <xf numFmtId="166" fontId="6" fillId="7" borderId="17" xfId="2" applyNumberFormat="1" applyFont="1" applyFill="1" applyBorder="1" applyAlignment="1">
      <alignment vertical="center"/>
    </xf>
    <xf numFmtId="166" fontId="6" fillId="7" borderId="11" xfId="2" applyNumberFormat="1" applyFont="1" applyFill="1" applyBorder="1" applyAlignment="1">
      <alignment vertical="center"/>
    </xf>
    <xf numFmtId="166" fontId="6" fillId="7" borderId="15" xfId="2" applyNumberFormat="1" applyFont="1" applyFill="1" applyBorder="1" applyAlignment="1">
      <alignment vertical="center"/>
    </xf>
    <xf numFmtId="49" fontId="5" fillId="4" borderId="21" xfId="2" applyNumberFormat="1" applyFont="1" applyFill="1" applyBorder="1" applyAlignment="1">
      <alignment horizontal="center" vertical="center"/>
    </xf>
    <xf numFmtId="2" fontId="4" fillId="0" borderId="22" xfId="0" applyNumberFormat="1" applyFont="1" applyBorder="1" applyAlignment="1">
      <alignment wrapText="1"/>
    </xf>
    <xf numFmtId="166" fontId="6" fillId="4" borderId="22" xfId="2" applyNumberFormat="1" applyFont="1" applyFill="1" applyBorder="1" applyAlignment="1">
      <alignment vertical="center"/>
    </xf>
    <xf numFmtId="166" fontId="6" fillId="7" borderId="22" xfId="2" applyNumberFormat="1" applyFont="1" applyFill="1" applyBorder="1" applyAlignment="1">
      <alignment vertical="center"/>
    </xf>
    <xf numFmtId="2" fontId="4" fillId="0" borderId="15" xfId="0" applyNumberFormat="1" applyFont="1" applyBorder="1" applyAlignment="1">
      <alignment vertical="center" wrapText="1"/>
    </xf>
    <xf numFmtId="1" fontId="4" fillId="0" borderId="23" xfId="0" applyNumberFormat="1" applyFont="1" applyBorder="1" applyAlignment="1">
      <alignment horizontal="right" vertical="center"/>
    </xf>
    <xf numFmtId="2" fontId="4" fillId="0" borderId="24" xfId="0" applyNumberFormat="1" applyFont="1" applyBorder="1" applyAlignment="1">
      <alignment wrapText="1"/>
    </xf>
    <xf numFmtId="166" fontId="6" fillId="4" borderId="24" xfId="2" applyNumberFormat="1" applyFont="1" applyFill="1" applyBorder="1" applyAlignment="1">
      <alignment vertical="center"/>
    </xf>
    <xf numFmtId="166" fontId="6" fillId="7" borderId="24" xfId="2" applyNumberFormat="1" applyFont="1" applyFill="1" applyBorder="1" applyAlignment="1">
      <alignment vertical="center"/>
    </xf>
    <xf numFmtId="2" fontId="6" fillId="3" borderId="24" xfId="2" applyNumberFormat="1" applyFont="1" applyFill="1" applyBorder="1" applyAlignment="1">
      <alignment vertical="center"/>
    </xf>
    <xf numFmtId="49" fontId="6" fillId="0" borderId="0" xfId="2" applyNumberFormat="1" applyFont="1" applyFill="1" applyBorder="1"/>
    <xf numFmtId="49" fontId="6" fillId="0" borderId="11" xfId="2" applyNumberFormat="1" applyFont="1" applyFill="1" applyBorder="1"/>
    <xf numFmtId="49" fontId="6" fillId="0" borderId="15" xfId="2" applyNumberFormat="1" applyFont="1" applyFill="1" applyBorder="1"/>
    <xf numFmtId="0" fontId="6" fillId="0" borderId="11" xfId="2" applyNumberFormat="1" applyFont="1" applyFill="1" applyBorder="1"/>
    <xf numFmtId="0" fontId="6" fillId="0" borderId="25" xfId="2" applyNumberFormat="1" applyFont="1" applyFill="1" applyBorder="1" applyAlignment="1">
      <alignment horizontal="center" vertical="center" wrapText="1"/>
    </xf>
    <xf numFmtId="49" fontId="6" fillId="0" borderId="0" xfId="2" quotePrefix="1" applyNumberFormat="1" applyFont="1" applyFill="1" applyBorder="1" applyAlignment="1">
      <alignment vertical="center" wrapText="1"/>
    </xf>
    <xf numFmtId="0" fontId="4" fillId="0" borderId="25" xfId="2" applyNumberFormat="1" applyFont="1" applyFill="1" applyBorder="1" applyAlignment="1">
      <alignment horizontal="center" vertical="center"/>
    </xf>
    <xf numFmtId="0" fontId="4" fillId="0" borderId="0" xfId="2" quotePrefix="1" applyNumberFormat="1" applyFont="1" applyBorder="1" applyAlignment="1">
      <alignment vertical="center" wrapText="1"/>
    </xf>
    <xf numFmtId="0" fontId="4" fillId="0" borderId="0" xfId="2" quotePrefix="1" applyNumberFormat="1" applyFont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left"/>
    </xf>
    <xf numFmtId="0" fontId="4" fillId="0" borderId="14" xfId="2" quotePrefix="1" applyNumberFormat="1" applyFont="1" applyBorder="1" applyAlignment="1">
      <alignment vertical="center" wrapText="1"/>
    </xf>
    <xf numFmtId="0" fontId="6" fillId="0" borderId="0" xfId="2" applyNumberFormat="1" applyFont="1" applyFill="1" applyBorder="1" applyAlignment="1">
      <alignment horizontal="center" vertical="center" wrapText="1"/>
    </xf>
    <xf numFmtId="4" fontId="4" fillId="0" borderId="0" xfId="2" quotePrefix="1" applyNumberFormat="1" applyFont="1" applyFill="1" applyBorder="1" applyAlignment="1">
      <alignment horizontal="right" vertical="center" wrapText="1"/>
    </xf>
    <xf numFmtId="49" fontId="6" fillId="0" borderId="0" xfId="2" applyNumberFormat="1" applyFont="1" applyFill="1" applyBorder="1" applyAlignment="1">
      <alignment horizontal="left"/>
    </xf>
    <xf numFmtId="49" fontId="6" fillId="0" borderId="8" xfId="2" applyNumberFormat="1" applyFont="1" applyFill="1" applyBorder="1" applyAlignment="1">
      <alignment horizontal="left"/>
    </xf>
    <xf numFmtId="0" fontId="6" fillId="0" borderId="0" xfId="2" applyNumberFormat="1" applyFont="1" applyFill="1" applyBorder="1" applyAlignment="1">
      <alignment horizontal="center"/>
    </xf>
    <xf numFmtId="49" fontId="5" fillId="5" borderId="9" xfId="2" applyNumberFormat="1" applyFont="1" applyFill="1" applyBorder="1"/>
    <xf numFmtId="49" fontId="6" fillId="5" borderId="26" xfId="2" applyNumberFormat="1" applyFont="1" applyFill="1" applyBorder="1"/>
    <xf numFmtId="0" fontId="6" fillId="5" borderId="26" xfId="2" applyFont="1" applyFill="1" applyBorder="1"/>
    <xf numFmtId="0" fontId="4" fillId="5" borderId="26" xfId="2" applyFont="1" applyFill="1" applyBorder="1"/>
    <xf numFmtId="49" fontId="4" fillId="5" borderId="26" xfId="2" applyNumberFormat="1" applyFont="1" applyFill="1" applyBorder="1"/>
    <xf numFmtId="0" fontId="4" fillId="0" borderId="0" xfId="2" applyNumberFormat="1" applyFont="1" applyBorder="1" applyAlignment="1">
      <alignment vertical="center"/>
    </xf>
    <xf numFmtId="0" fontId="6" fillId="0" borderId="0" xfId="2" applyNumberFormat="1" applyFont="1" applyFill="1" applyBorder="1" applyAlignment="1"/>
    <xf numFmtId="0" fontId="6" fillId="0" borderId="8" xfId="2" applyNumberFormat="1" applyFont="1" applyFill="1" applyBorder="1" applyAlignment="1"/>
    <xf numFmtId="0" fontId="4" fillId="5" borderId="14" xfId="2" quotePrefix="1" applyNumberFormat="1" applyFont="1" applyFill="1" applyBorder="1" applyAlignment="1">
      <alignment vertical="center" wrapText="1"/>
    </xf>
    <xf numFmtId="0" fontId="12" fillId="5" borderId="14" xfId="2" quotePrefix="1" applyNumberFormat="1" applyFont="1" applyFill="1" applyBorder="1" applyAlignment="1">
      <alignment vertical="center" wrapText="1"/>
    </xf>
    <xf numFmtId="0" fontId="6" fillId="0" borderId="14" xfId="2" applyNumberFormat="1" applyFont="1" applyFill="1" applyBorder="1" applyAlignment="1">
      <alignment horizontal="center" vertical="center" wrapText="1"/>
    </xf>
    <xf numFmtId="0" fontId="4" fillId="5" borderId="14" xfId="2" applyNumberFormat="1" applyFont="1" applyFill="1" applyBorder="1" applyAlignment="1">
      <alignment vertical="center"/>
    </xf>
    <xf numFmtId="0" fontId="6" fillId="5" borderId="14" xfId="2" applyNumberFormat="1" applyFont="1" applyFill="1" applyBorder="1" applyAlignment="1"/>
    <xf numFmtId="0" fontId="6" fillId="5" borderId="14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/>
    <xf numFmtId="0" fontId="6" fillId="0" borderId="27" xfId="2" applyNumberFormat="1" applyFont="1" applyFill="1" applyBorder="1"/>
    <xf numFmtId="49" fontId="6" fillId="0" borderId="27" xfId="2" applyNumberFormat="1" applyFont="1" applyFill="1" applyBorder="1"/>
    <xf numFmtId="49" fontId="6" fillId="0" borderId="14" xfId="2" quotePrefix="1" applyNumberFormat="1" applyFont="1" applyFill="1" applyBorder="1" applyAlignment="1">
      <alignment vertical="center" wrapText="1"/>
    </xf>
    <xf numFmtId="0" fontId="12" fillId="5" borderId="18" xfId="0" applyNumberFormat="1" applyFont="1" applyFill="1" applyBorder="1" applyAlignment="1">
      <alignment horizontal="center" vertical="center" wrapText="1"/>
    </xf>
    <xf numFmtId="0" fontId="12" fillId="5" borderId="19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/>
    </xf>
    <xf numFmtId="0" fontId="4" fillId="2" borderId="18" xfId="0" applyNumberFormat="1" applyFont="1" applyFill="1" applyBorder="1"/>
    <xf numFmtId="0" fontId="17" fillId="6" borderId="18" xfId="0" applyNumberFormat="1" applyFont="1" applyFill="1" applyBorder="1" applyAlignment="1">
      <alignment vertical="center" wrapText="1"/>
    </xf>
    <xf numFmtId="0" fontId="17" fillId="6" borderId="18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NumberFormat="1"/>
    <xf numFmtId="49" fontId="20" fillId="0" borderId="5" xfId="2" quotePrefix="1" applyNumberFormat="1" applyFont="1" applyFill="1" applyBorder="1" applyAlignment="1">
      <alignment horizontal="center" vertical="center" wrapText="1"/>
    </xf>
    <xf numFmtId="49" fontId="20" fillId="0" borderId="0" xfId="2" quotePrefix="1" applyNumberFormat="1" applyFont="1" applyFill="1" applyBorder="1" applyAlignment="1">
      <alignment horizontal="center" vertical="center" wrapText="1"/>
    </xf>
    <xf numFmtId="49" fontId="20" fillId="0" borderId="8" xfId="2" quotePrefix="1" applyNumberFormat="1" applyFont="1" applyFill="1" applyBorder="1" applyAlignment="1">
      <alignment horizontal="center" vertical="center" wrapText="1"/>
    </xf>
    <xf numFmtId="3" fontId="6" fillId="0" borderId="0" xfId="2" quotePrefix="1" applyNumberFormat="1" applyFont="1" applyFill="1" applyBorder="1" applyAlignment="1">
      <alignment horizontal="left" vertical="center" wrapText="1"/>
    </xf>
    <xf numFmtId="0" fontId="6" fillId="0" borderId="0" xfId="2" quotePrefix="1" applyNumberFormat="1" applyFont="1" applyFill="1" applyBorder="1" applyAlignment="1">
      <alignment horizontal="left" vertical="center" wrapText="1"/>
    </xf>
    <xf numFmtId="49" fontId="6" fillId="0" borderId="0" xfId="2" quotePrefix="1" applyNumberFormat="1" applyFont="1" applyFill="1" applyBorder="1" applyAlignment="1">
      <alignment horizontal="left" vertical="center" wrapText="1"/>
    </xf>
    <xf numFmtId="0" fontId="4" fillId="0" borderId="8" xfId="2" applyNumberFormat="1" applyFont="1" applyBorder="1" applyAlignment="1">
      <alignment vertical="center"/>
    </xf>
    <xf numFmtId="49" fontId="5" fillId="5" borderId="28" xfId="2" applyNumberFormat="1" applyFont="1" applyFill="1" applyBorder="1"/>
    <xf numFmtId="49" fontId="6" fillId="5" borderId="25" xfId="2" applyNumberFormat="1" applyFont="1" applyFill="1" applyBorder="1"/>
    <xf numFmtId="0" fontId="6" fillId="5" borderId="25" xfId="2" applyFont="1" applyFill="1" applyBorder="1"/>
    <xf numFmtId="0" fontId="4" fillId="5" borderId="25" xfId="2" applyFont="1" applyFill="1" applyBorder="1"/>
    <xf numFmtId="49" fontId="4" fillId="5" borderId="25" xfId="2" applyNumberFormat="1" applyFont="1" applyFill="1" applyBorder="1"/>
    <xf numFmtId="0" fontId="12" fillId="5" borderId="25" xfId="2" quotePrefix="1" applyNumberFormat="1" applyFont="1" applyFill="1" applyBorder="1" applyAlignment="1">
      <alignment vertical="center" wrapText="1"/>
    </xf>
    <xf numFmtId="49" fontId="5" fillId="5" borderId="25" xfId="2" applyNumberFormat="1" applyFont="1" applyFill="1" applyBorder="1" applyAlignment="1">
      <alignment horizontal="left"/>
    </xf>
    <xf numFmtId="49" fontId="5" fillId="5" borderId="29" xfId="2" applyNumberFormat="1" applyFont="1" applyFill="1" applyBorder="1" applyAlignment="1">
      <alignment horizontal="left"/>
    </xf>
    <xf numFmtId="49" fontId="21" fillId="0" borderId="0" xfId="2" applyNumberFormat="1" applyFont="1" applyFill="1" applyBorder="1"/>
    <xf numFmtId="0" fontId="11" fillId="0" borderId="0" xfId="2" applyNumberFormat="1" applyFont="1" applyFill="1" applyBorder="1" applyAlignment="1">
      <alignment horizontal="center" vertical="center" wrapText="1"/>
    </xf>
    <xf numFmtId="0" fontId="5" fillId="4" borderId="21" xfId="2" applyNumberFormat="1" applyFont="1" applyFill="1" applyBorder="1" applyAlignment="1">
      <alignment horizontal="center" vertical="center"/>
    </xf>
    <xf numFmtId="0" fontId="5" fillId="4" borderId="30" xfId="2" applyNumberFormat="1" applyFont="1" applyFill="1" applyBorder="1" applyAlignment="1">
      <alignment horizontal="center" vertical="center"/>
    </xf>
    <xf numFmtId="0" fontId="5" fillId="4" borderId="31" xfId="2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/>
    <xf numFmtId="0" fontId="6" fillId="0" borderId="5" xfId="2" applyNumberFormat="1" applyFont="1" applyFill="1" applyBorder="1" applyAlignment="1">
      <alignment horizontal="center"/>
    </xf>
    <xf numFmtId="4" fontId="6" fillId="0" borderId="0" xfId="2" applyNumberFormat="1" applyFont="1" applyFill="1" applyBorder="1"/>
    <xf numFmtId="1" fontId="4" fillId="2" borderId="16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horizontal="right" vertical="center"/>
    </xf>
    <xf numFmtId="1" fontId="4" fillId="2" borderId="13" xfId="0" applyNumberFormat="1" applyFont="1" applyFill="1" applyBorder="1" applyAlignment="1">
      <alignment horizontal="right" vertical="center"/>
    </xf>
    <xf numFmtId="2" fontId="6" fillId="0" borderId="0" xfId="2" applyNumberFormat="1" applyFont="1" applyFill="1" applyBorder="1"/>
    <xf numFmtId="0" fontId="12" fillId="5" borderId="26" xfId="2" quotePrefix="1" applyNumberFormat="1" applyFont="1" applyFill="1" applyBorder="1" applyAlignment="1">
      <alignment vertical="center" wrapText="1"/>
    </xf>
    <xf numFmtId="49" fontId="5" fillId="5" borderId="26" xfId="2" applyNumberFormat="1" applyFont="1" applyFill="1" applyBorder="1" applyAlignment="1">
      <alignment horizontal="left"/>
    </xf>
    <xf numFmtId="49" fontId="5" fillId="5" borderId="32" xfId="2" applyNumberFormat="1" applyFont="1" applyFill="1" applyBorder="1" applyAlignment="1">
      <alignment horizontal="left"/>
    </xf>
    <xf numFmtId="49" fontId="6" fillId="0" borderId="33" xfId="2" applyNumberFormat="1" applyFont="1" applyFill="1" applyBorder="1"/>
    <xf numFmtId="0" fontId="4" fillId="0" borderId="0" xfId="2" applyNumberFormat="1" applyFont="1" applyFill="1" applyBorder="1" applyAlignment="1">
      <alignment vertical="center"/>
    </xf>
    <xf numFmtId="0" fontId="12" fillId="0" borderId="0" xfId="2" quotePrefix="1" applyNumberFormat="1" applyFont="1" applyFill="1" applyBorder="1" applyAlignment="1">
      <alignment vertical="center" wrapText="1"/>
    </xf>
    <xf numFmtId="49" fontId="5" fillId="0" borderId="0" xfId="2" applyNumberFormat="1" applyFont="1" applyFill="1" applyBorder="1" applyAlignment="1">
      <alignment horizontal="left"/>
    </xf>
    <xf numFmtId="49" fontId="5" fillId="0" borderId="8" xfId="2" applyNumberFormat="1" applyFont="1" applyFill="1" applyBorder="1" applyAlignment="1">
      <alignment horizontal="left"/>
    </xf>
    <xf numFmtId="0" fontId="4" fillId="0" borderId="14" xfId="2" applyNumberFormat="1" applyFont="1" applyFill="1" applyBorder="1" applyAlignment="1">
      <alignment vertical="center"/>
    </xf>
    <xf numFmtId="0" fontId="12" fillId="0" borderId="14" xfId="2" quotePrefix="1" applyNumberFormat="1" applyFont="1" applyFill="1" applyBorder="1" applyAlignment="1">
      <alignment vertical="center" wrapText="1"/>
    </xf>
    <xf numFmtId="49" fontId="5" fillId="0" borderId="14" xfId="2" applyNumberFormat="1" applyFont="1" applyFill="1" applyBorder="1" applyAlignment="1">
      <alignment horizontal="left"/>
    </xf>
    <xf numFmtId="49" fontId="5" fillId="0" borderId="34" xfId="2" applyNumberFormat="1" applyFont="1" applyFill="1" applyBorder="1" applyAlignment="1">
      <alignment horizontal="left"/>
    </xf>
    <xf numFmtId="1" fontId="4" fillId="2" borderId="35" xfId="0" applyNumberFormat="1" applyFont="1" applyFill="1" applyBorder="1" applyAlignment="1">
      <alignment horizontal="right" vertical="center"/>
    </xf>
    <xf numFmtId="0" fontId="4" fillId="0" borderId="26" xfId="2" applyNumberFormat="1" applyFont="1" applyFill="1" applyBorder="1" applyAlignment="1">
      <alignment horizontal="center" vertical="center"/>
    </xf>
    <xf numFmtId="0" fontId="6" fillId="0" borderId="26" xfId="2" applyNumberFormat="1" applyFont="1" applyFill="1" applyBorder="1" applyAlignment="1">
      <alignment horizontal="center" vertical="center" wrapText="1"/>
    </xf>
    <xf numFmtId="169" fontId="5" fillId="5" borderId="12" xfId="2" applyNumberFormat="1" applyFont="1" applyFill="1" applyBorder="1" applyAlignment="1">
      <alignment horizontal="center" vertical="center" wrapText="1"/>
    </xf>
    <xf numFmtId="169" fontId="5" fillId="0" borderId="12" xfId="2" applyNumberFormat="1" applyFont="1" applyFill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/>
    </xf>
    <xf numFmtId="166" fontId="6" fillId="0" borderId="17" xfId="2" applyNumberFormat="1" applyFont="1" applyFill="1" applyBorder="1" applyAlignment="1">
      <alignment vertical="center"/>
    </xf>
    <xf numFmtId="166" fontId="6" fillId="0" borderId="54" xfId="2" applyNumberFormat="1" applyFont="1" applyFill="1" applyBorder="1" applyAlignment="1">
      <alignment vertical="center"/>
    </xf>
    <xf numFmtId="166" fontId="6" fillId="0" borderId="55" xfId="2" applyNumberFormat="1" applyFont="1" applyFill="1" applyBorder="1" applyAlignment="1">
      <alignment vertical="center"/>
    </xf>
    <xf numFmtId="166" fontId="6" fillId="0" borderId="56" xfId="2" applyNumberFormat="1" applyFont="1" applyFill="1" applyBorder="1" applyAlignment="1">
      <alignment vertical="center"/>
    </xf>
    <xf numFmtId="166" fontId="6" fillId="0" borderId="31" xfId="2" applyNumberFormat="1" applyFont="1" applyFill="1" applyBorder="1" applyAlignment="1">
      <alignment vertical="center"/>
    </xf>
    <xf numFmtId="166" fontId="6" fillId="0" borderId="0" xfId="2" applyNumberFormat="1" applyFont="1" applyFill="1" applyBorder="1" applyAlignment="1">
      <alignment vertical="center"/>
    </xf>
    <xf numFmtId="0" fontId="6" fillId="0" borderId="11" xfId="2" applyNumberFormat="1" applyFont="1" applyBorder="1" applyAlignment="1">
      <alignment horizontal="center" vertical="center"/>
    </xf>
    <xf numFmtId="49" fontId="6" fillId="0" borderId="11" xfId="2" applyNumberFormat="1" applyFont="1" applyBorder="1" applyAlignment="1">
      <alignment horizontal="center" vertical="center"/>
    </xf>
    <xf numFmtId="49" fontId="4" fillId="0" borderId="42" xfId="2" applyNumberFormat="1" applyFont="1" applyBorder="1" applyAlignment="1">
      <alignment horizontal="center" wrapText="1"/>
    </xf>
    <xf numFmtId="49" fontId="4" fillId="0" borderId="39" xfId="2" applyNumberFormat="1" applyFont="1" applyBorder="1" applyAlignment="1">
      <alignment horizontal="center" wrapText="1"/>
    </xf>
    <xf numFmtId="49" fontId="4" fillId="0" borderId="40" xfId="2" applyNumberFormat="1" applyFont="1" applyBorder="1" applyAlignment="1">
      <alignment horizontal="center" wrapText="1"/>
    </xf>
    <xf numFmtId="49" fontId="5" fillId="0" borderId="0" xfId="2" applyNumberFormat="1" applyFont="1" applyBorder="1" applyAlignment="1">
      <alignment horizontal="right"/>
    </xf>
    <xf numFmtId="49" fontId="5" fillId="0" borderId="0" xfId="2" applyNumberFormat="1" applyFont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top"/>
    </xf>
    <xf numFmtId="0" fontId="6" fillId="0" borderId="14" xfId="2" applyFont="1" applyBorder="1" applyAlignment="1">
      <alignment horizontal="center"/>
    </xf>
    <xf numFmtId="49" fontId="6" fillId="0" borderId="14" xfId="2" applyNumberFormat="1" applyFont="1" applyBorder="1" applyAlignment="1">
      <alignment horizontal="center"/>
    </xf>
    <xf numFmtId="49" fontId="6" fillId="0" borderId="0" xfId="2" applyNumberFormat="1" applyFont="1" applyBorder="1" applyAlignment="1">
      <alignment horizontal="left"/>
    </xf>
    <xf numFmtId="49" fontId="6" fillId="0" borderId="0" xfId="2" applyNumberFormat="1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3" fontId="6" fillId="0" borderId="17" xfId="2" applyNumberFormat="1" applyFont="1" applyBorder="1" applyAlignment="1">
      <alignment horizontal="center" vertical="center"/>
    </xf>
    <xf numFmtId="49" fontId="4" fillId="0" borderId="52" xfId="2" applyNumberFormat="1" applyFont="1" applyBorder="1" applyAlignment="1">
      <alignment horizontal="center" vertical="center" wrapText="1"/>
    </xf>
    <xf numFmtId="49" fontId="4" fillId="0" borderId="4" xfId="2" applyNumberFormat="1" applyFont="1" applyBorder="1" applyAlignment="1">
      <alignment horizontal="center" vertical="center" wrapText="1"/>
    </xf>
    <xf numFmtId="49" fontId="4" fillId="0" borderId="53" xfId="2" applyNumberFormat="1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/>
    </xf>
    <xf numFmtId="49" fontId="4" fillId="0" borderId="0" xfId="2" applyNumberFormat="1" applyFont="1" applyBorder="1" applyAlignment="1">
      <alignment horizontal="left"/>
    </xf>
    <xf numFmtId="49" fontId="8" fillId="0" borderId="0" xfId="2" applyNumberFormat="1" applyFont="1" applyBorder="1" applyAlignment="1">
      <alignment horizontal="right"/>
    </xf>
    <xf numFmtId="49" fontId="5" fillId="0" borderId="0" xfId="2" applyNumberFormat="1" applyFont="1" applyBorder="1" applyAlignment="1">
      <alignment horizontal="left"/>
    </xf>
    <xf numFmtId="49" fontId="6" fillId="0" borderId="0" xfId="2" applyNumberFormat="1" applyFont="1" applyBorder="1" applyAlignment="1">
      <alignment horizontal="left" vertical="center"/>
    </xf>
    <xf numFmtId="2" fontId="5" fillId="5" borderId="38" xfId="2" applyNumberFormat="1" applyFont="1" applyFill="1" applyBorder="1" applyAlignment="1">
      <alignment horizontal="left" vertical="center" wrapText="1"/>
    </xf>
    <xf numFmtId="49" fontId="4" fillId="0" borderId="0" xfId="2" applyNumberFormat="1" applyFont="1" applyFill="1" applyBorder="1" applyAlignment="1">
      <alignment horizontal="right" vertical="center"/>
    </xf>
    <xf numFmtId="0" fontId="4" fillId="0" borderId="0" xfId="2" applyNumberFormat="1" applyFont="1" applyFill="1" applyBorder="1" applyAlignment="1">
      <alignment horizontal="right" vertical="center"/>
    </xf>
    <xf numFmtId="49" fontId="6" fillId="0" borderId="5" xfId="2" quotePrefix="1" applyNumberFormat="1" applyFont="1" applyBorder="1" applyAlignment="1">
      <alignment horizontal="right" vertical="center" wrapText="1"/>
    </xf>
    <xf numFmtId="0" fontId="1" fillId="0" borderId="0" xfId="2" applyFont="1" applyBorder="1" applyAlignment="1">
      <alignment horizontal="right" vertical="center" wrapText="1"/>
    </xf>
    <xf numFmtId="4" fontId="4" fillId="0" borderId="5" xfId="2" quotePrefix="1" applyNumberFormat="1" applyFont="1" applyFill="1" applyBorder="1" applyAlignment="1">
      <alignment horizontal="right" vertical="center" wrapText="1"/>
    </xf>
    <xf numFmtId="4" fontId="4" fillId="0" borderId="0" xfId="2" quotePrefix="1" applyNumberFormat="1" applyFont="1" applyFill="1" applyBorder="1" applyAlignment="1">
      <alignment horizontal="right" vertical="center" wrapText="1"/>
    </xf>
    <xf numFmtId="49" fontId="6" fillId="0" borderId="0" xfId="2" applyNumberFormat="1" applyFont="1" applyFill="1" applyBorder="1" applyAlignment="1">
      <alignment horizontal="left"/>
    </xf>
    <xf numFmtId="49" fontId="6" fillId="0" borderId="8" xfId="2" applyNumberFormat="1" applyFont="1" applyFill="1" applyBorder="1" applyAlignment="1">
      <alignment horizontal="left"/>
    </xf>
    <xf numFmtId="0" fontId="6" fillId="0" borderId="36" xfId="2" applyNumberFormat="1" applyFont="1" applyFill="1" applyBorder="1" applyAlignment="1">
      <alignment horizontal="center"/>
    </xf>
    <xf numFmtId="0" fontId="6" fillId="0" borderId="14" xfId="2" applyNumberFormat="1" applyFont="1" applyFill="1" applyBorder="1" applyAlignment="1">
      <alignment horizontal="center"/>
    </xf>
    <xf numFmtId="3" fontId="6" fillId="0" borderId="14" xfId="2" quotePrefix="1" applyNumberFormat="1" applyFont="1" applyFill="1" applyBorder="1" applyAlignment="1">
      <alignment horizontal="center" vertical="center" wrapText="1"/>
    </xf>
    <xf numFmtId="0" fontId="6" fillId="0" borderId="14" xfId="2" quotePrefix="1" applyNumberFormat="1" applyFont="1" applyFill="1" applyBorder="1" applyAlignment="1">
      <alignment horizontal="left" vertical="center" wrapText="1"/>
    </xf>
    <xf numFmtId="49" fontId="6" fillId="0" borderId="14" xfId="2" quotePrefix="1" applyNumberFormat="1" applyFont="1" applyFill="1" applyBorder="1" applyAlignment="1">
      <alignment horizontal="left" vertical="center" wrapText="1"/>
    </xf>
    <xf numFmtId="49" fontId="6" fillId="0" borderId="34" xfId="2" quotePrefix="1" applyNumberFormat="1" applyFont="1" applyFill="1" applyBorder="1" applyAlignment="1">
      <alignment horizontal="left" vertical="center" wrapText="1"/>
    </xf>
    <xf numFmtId="0" fontId="4" fillId="0" borderId="36" xfId="2" quotePrefix="1" applyNumberFormat="1" applyFont="1" applyBorder="1" applyAlignment="1">
      <alignment horizontal="center" vertical="center" wrapText="1"/>
    </xf>
    <xf numFmtId="0" fontId="4" fillId="0" borderId="14" xfId="2" quotePrefix="1" applyNumberFormat="1" applyFont="1" applyBorder="1" applyAlignment="1">
      <alignment horizontal="center" vertical="center" wrapText="1"/>
    </xf>
    <xf numFmtId="0" fontId="6" fillId="0" borderId="14" xfId="2" applyNumberFormat="1" applyFont="1" applyFill="1" applyBorder="1" applyAlignment="1">
      <alignment horizontal="left"/>
    </xf>
    <xf numFmtId="0" fontId="6" fillId="0" borderId="34" xfId="2" applyNumberFormat="1" applyFont="1" applyFill="1" applyBorder="1" applyAlignment="1">
      <alignment horizontal="left"/>
    </xf>
    <xf numFmtId="0" fontId="4" fillId="0" borderId="5" xfId="2" quotePrefix="1" applyNumberFormat="1" applyFont="1" applyBorder="1" applyAlignment="1">
      <alignment horizontal="center" vertical="center" wrapText="1"/>
    </xf>
    <xf numFmtId="0" fontId="4" fillId="0" borderId="0" xfId="2" quotePrefix="1" applyNumberFormat="1" applyFont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left"/>
    </xf>
    <xf numFmtId="0" fontId="6" fillId="0" borderId="8" xfId="2" applyNumberFormat="1" applyFont="1" applyFill="1" applyBorder="1" applyAlignment="1">
      <alignment horizontal="left"/>
    </xf>
    <xf numFmtId="0" fontId="6" fillId="0" borderId="25" xfId="2" applyNumberFormat="1" applyFont="1" applyFill="1" applyBorder="1" applyAlignment="1">
      <alignment horizontal="left"/>
    </xf>
    <xf numFmtId="0" fontId="6" fillId="0" borderId="29" xfId="2" applyNumberFormat="1" applyFont="1" applyFill="1" applyBorder="1" applyAlignment="1">
      <alignment horizontal="left"/>
    </xf>
    <xf numFmtId="49" fontId="21" fillId="0" borderId="28" xfId="2" applyNumberFormat="1" applyFont="1" applyFill="1" applyBorder="1" applyAlignment="1">
      <alignment horizontal="right"/>
    </xf>
    <xf numFmtId="49" fontId="21" fillId="0" borderId="25" xfId="2" applyNumberFormat="1" applyFont="1" applyFill="1" applyBorder="1" applyAlignment="1">
      <alignment horizontal="right"/>
    </xf>
    <xf numFmtId="49" fontId="21" fillId="0" borderId="29" xfId="2" applyNumberFormat="1" applyFont="1" applyFill="1" applyBorder="1" applyAlignment="1">
      <alignment horizontal="right"/>
    </xf>
    <xf numFmtId="49" fontId="19" fillId="0" borderId="5" xfId="2" quotePrefix="1" applyNumberFormat="1" applyFont="1" applyFill="1" applyBorder="1" applyAlignment="1">
      <alignment horizontal="left" vertical="center" wrapText="1"/>
    </xf>
    <xf numFmtId="49" fontId="19" fillId="0" borderId="0" xfId="2" quotePrefix="1" applyNumberFormat="1" applyFont="1" applyFill="1" applyBorder="1" applyAlignment="1">
      <alignment horizontal="left" vertical="center" wrapText="1"/>
    </xf>
    <xf numFmtId="49" fontId="19" fillId="0" borderId="8" xfId="2" quotePrefix="1" applyNumberFormat="1" applyFont="1" applyFill="1" applyBorder="1" applyAlignment="1">
      <alignment horizontal="left" vertical="center" wrapText="1"/>
    </xf>
    <xf numFmtId="2" fontId="5" fillId="2" borderId="18" xfId="2" applyNumberFormat="1" applyFont="1" applyFill="1" applyBorder="1" applyAlignment="1">
      <alignment horizontal="left" vertical="center" wrapText="1"/>
    </xf>
    <xf numFmtId="0" fontId="5" fillId="2" borderId="18" xfId="2" applyNumberFormat="1" applyFont="1" applyFill="1" applyBorder="1" applyAlignment="1">
      <alignment horizontal="left" vertical="center" wrapText="1"/>
    </xf>
    <xf numFmtId="0" fontId="5" fillId="2" borderId="19" xfId="2" applyNumberFormat="1" applyFont="1" applyFill="1" applyBorder="1" applyAlignment="1">
      <alignment horizontal="left" vertical="center" wrapText="1"/>
    </xf>
    <xf numFmtId="1" fontId="5" fillId="5" borderId="37" xfId="2" applyNumberFormat="1" applyFont="1" applyFill="1" applyBorder="1" applyAlignment="1">
      <alignment horizontal="right" vertical="center" wrapText="1"/>
    </xf>
    <xf numFmtId="0" fontId="5" fillId="5" borderId="38" xfId="2" applyNumberFormat="1" applyFont="1" applyFill="1" applyBorder="1" applyAlignment="1">
      <alignment horizontal="right" vertical="center" wrapText="1"/>
    </xf>
    <xf numFmtId="49" fontId="6" fillId="0" borderId="28" xfId="2" quotePrefix="1" applyNumberFormat="1" applyFont="1" applyFill="1" applyBorder="1" applyAlignment="1">
      <alignment horizontal="left" vertical="center" wrapText="1"/>
    </xf>
    <xf numFmtId="49" fontId="6" fillId="0" borderId="25" xfId="2" quotePrefix="1" applyNumberFormat="1" applyFont="1" applyFill="1" applyBorder="1" applyAlignment="1">
      <alignment horizontal="left" vertical="center" wrapText="1"/>
    </xf>
    <xf numFmtId="49" fontId="6" fillId="0" borderId="29" xfId="2" quotePrefix="1" applyNumberFormat="1" applyFont="1" applyFill="1" applyBorder="1" applyAlignment="1">
      <alignment horizontal="left" vertical="center" wrapText="1"/>
    </xf>
    <xf numFmtId="0" fontId="4" fillId="0" borderId="28" xfId="2" applyNumberFormat="1" applyFont="1" applyBorder="1" applyAlignment="1">
      <alignment horizontal="right" vertical="center"/>
    </xf>
    <xf numFmtId="0" fontId="4" fillId="0" borderId="25" xfId="2" applyNumberFormat="1" applyFont="1" applyBorder="1" applyAlignment="1">
      <alignment horizontal="right" vertical="center"/>
    </xf>
    <xf numFmtId="0" fontId="4" fillId="0" borderId="25" xfId="2" applyNumberFormat="1" applyFont="1" applyFill="1" applyBorder="1" applyAlignment="1">
      <alignment horizontal="right" vertical="center"/>
    </xf>
    <xf numFmtId="0" fontId="4" fillId="0" borderId="25" xfId="2" applyNumberFormat="1" applyFont="1" applyFill="1" applyBorder="1" applyAlignment="1">
      <alignment horizontal="left" vertical="center"/>
    </xf>
    <xf numFmtId="49" fontId="6" fillId="0" borderId="0" xfId="2" quotePrefix="1" applyNumberFormat="1" applyFont="1" applyBorder="1" applyAlignment="1">
      <alignment horizontal="right" vertical="center" wrapText="1"/>
    </xf>
    <xf numFmtId="49" fontId="5" fillId="2" borderId="20" xfId="2" applyNumberFormat="1" applyFont="1" applyFill="1" applyBorder="1" applyAlignment="1">
      <alignment horizontal="right" vertical="center" wrapText="1"/>
    </xf>
    <xf numFmtId="0" fontId="5" fillId="2" borderId="18" xfId="2" applyNumberFormat="1" applyFont="1" applyFill="1" applyBorder="1" applyAlignment="1">
      <alignment horizontal="right" vertical="center" wrapText="1"/>
    </xf>
    <xf numFmtId="0" fontId="21" fillId="5" borderId="39" xfId="2" applyNumberFormat="1" applyFont="1" applyFill="1" applyBorder="1" applyAlignment="1">
      <alignment horizontal="right" vertical="center" wrapText="1"/>
    </xf>
    <xf numFmtId="0" fontId="21" fillId="5" borderId="40" xfId="2" applyNumberFormat="1" applyFont="1" applyFill="1" applyBorder="1" applyAlignment="1">
      <alignment horizontal="right" vertical="center" wrapText="1"/>
    </xf>
    <xf numFmtId="49" fontId="4" fillId="0" borderId="25" xfId="2" applyNumberFormat="1" applyFont="1" applyFill="1" applyBorder="1" applyAlignment="1">
      <alignment horizontal="right" vertical="center"/>
    </xf>
    <xf numFmtId="49" fontId="4" fillId="0" borderId="25" xfId="2" applyNumberFormat="1" applyFont="1" applyFill="1" applyBorder="1" applyAlignment="1">
      <alignment horizontal="left" vertical="center"/>
    </xf>
    <xf numFmtId="0" fontId="6" fillId="0" borderId="25" xfId="2" applyNumberFormat="1" applyFont="1" applyFill="1" applyBorder="1" applyAlignment="1">
      <alignment horizontal="right"/>
    </xf>
    <xf numFmtId="0" fontId="6" fillId="0" borderId="25" xfId="2" applyNumberFormat="1" applyFont="1" applyFill="1" applyBorder="1" applyAlignment="1">
      <alignment horizontal="center"/>
    </xf>
    <xf numFmtId="2" fontId="4" fillId="0" borderId="0" xfId="2" applyNumberFormat="1" applyFont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center"/>
    </xf>
    <xf numFmtId="4" fontId="12" fillId="5" borderId="25" xfId="2" quotePrefix="1" applyNumberFormat="1" applyFont="1" applyFill="1" applyBorder="1" applyAlignment="1">
      <alignment horizontal="right" vertical="center" wrapText="1"/>
    </xf>
    <xf numFmtId="4" fontId="12" fillId="5" borderId="14" xfId="2" quotePrefix="1" applyNumberFormat="1" applyFont="1" applyFill="1" applyBorder="1" applyAlignment="1">
      <alignment horizontal="right" vertical="center" wrapText="1"/>
    </xf>
    <xf numFmtId="49" fontId="5" fillId="5" borderId="14" xfId="2" applyNumberFormat="1" applyFont="1" applyFill="1" applyBorder="1" applyAlignment="1">
      <alignment horizontal="left"/>
    </xf>
    <xf numFmtId="49" fontId="5" fillId="5" borderId="34" xfId="2" applyNumberFormat="1" applyFont="1" applyFill="1" applyBorder="1" applyAlignment="1">
      <alignment horizontal="left"/>
    </xf>
    <xf numFmtId="9" fontId="6" fillId="0" borderId="0" xfId="2" applyNumberFormat="1" applyFont="1" applyFill="1" applyBorder="1" applyAlignment="1">
      <alignment horizontal="left"/>
    </xf>
    <xf numFmtId="49" fontId="6" fillId="5" borderId="36" xfId="2" quotePrefix="1" applyNumberFormat="1" applyFont="1" applyFill="1" applyBorder="1" applyAlignment="1">
      <alignment horizontal="center" vertical="center" wrapText="1"/>
    </xf>
    <xf numFmtId="49" fontId="6" fillId="5" borderId="14" xfId="2" quotePrefix="1" applyNumberFormat="1" applyFont="1" applyFill="1" applyBorder="1" applyAlignment="1">
      <alignment horizontal="center" vertical="center" wrapText="1"/>
    </xf>
    <xf numFmtId="0" fontId="12" fillId="5" borderId="14" xfId="2" quotePrefix="1" applyNumberFormat="1" applyFont="1" applyFill="1" applyBorder="1" applyAlignment="1">
      <alignment horizontal="center" vertical="center" wrapText="1"/>
    </xf>
    <xf numFmtId="0" fontId="12" fillId="5" borderId="25" xfId="2" quotePrefix="1" applyNumberFormat="1" applyFont="1" applyFill="1" applyBorder="1" applyAlignment="1">
      <alignment horizontal="center" vertical="center" wrapText="1"/>
    </xf>
    <xf numFmtId="4" fontId="4" fillId="0" borderId="36" xfId="2" quotePrefix="1" applyNumberFormat="1" applyFont="1" applyFill="1" applyBorder="1" applyAlignment="1">
      <alignment horizontal="right" vertical="center" wrapText="1"/>
    </xf>
    <xf numFmtId="4" fontId="4" fillId="0" borderId="14" xfId="2" quotePrefix="1" applyNumberFormat="1" applyFont="1" applyFill="1" applyBorder="1" applyAlignment="1">
      <alignment horizontal="right" vertical="center" wrapText="1"/>
    </xf>
    <xf numFmtId="49" fontId="6" fillId="0" borderId="14" xfId="2" applyNumberFormat="1" applyFont="1" applyFill="1" applyBorder="1" applyAlignment="1">
      <alignment horizontal="left"/>
    </xf>
    <xf numFmtId="49" fontId="6" fillId="0" borderId="34" xfId="2" applyNumberFormat="1" applyFont="1" applyFill="1" applyBorder="1" applyAlignment="1">
      <alignment horizontal="left"/>
    </xf>
    <xf numFmtId="0" fontId="6" fillId="0" borderId="0" xfId="2" applyNumberFormat="1" applyFont="1" applyFill="1" applyBorder="1" applyAlignment="1">
      <alignment horizontal="right"/>
    </xf>
    <xf numFmtId="49" fontId="20" fillId="0" borderId="5" xfId="2" quotePrefix="1" applyNumberFormat="1" applyFont="1" applyFill="1" applyBorder="1" applyAlignment="1">
      <alignment horizontal="left" vertical="top" wrapText="1"/>
    </xf>
    <xf numFmtId="49" fontId="20" fillId="0" borderId="0" xfId="2" quotePrefix="1" applyNumberFormat="1" applyFont="1" applyFill="1" applyBorder="1" applyAlignment="1">
      <alignment horizontal="left" vertical="top" wrapText="1"/>
    </xf>
    <xf numFmtId="49" fontId="20" fillId="0" borderId="8" xfId="2" quotePrefix="1" applyNumberFormat="1" applyFont="1" applyFill="1" applyBorder="1" applyAlignment="1">
      <alignment horizontal="left" vertical="top" wrapText="1"/>
    </xf>
    <xf numFmtId="2" fontId="6" fillId="0" borderId="0" xfId="2" applyNumberFormat="1" applyFont="1" applyFill="1" applyBorder="1" applyAlignment="1">
      <alignment horizontal="left"/>
    </xf>
    <xf numFmtId="4" fontId="6" fillId="0" borderId="14" xfId="2" quotePrefix="1" applyNumberFormat="1" applyFont="1" applyFill="1" applyBorder="1" applyAlignment="1">
      <alignment horizontal="left" vertical="center" wrapText="1"/>
    </xf>
    <xf numFmtId="49" fontId="6" fillId="0" borderId="5" xfId="2" quotePrefix="1" applyNumberFormat="1" applyFont="1" applyFill="1" applyBorder="1" applyAlignment="1">
      <alignment horizontal="left" vertical="center" wrapText="1"/>
    </xf>
    <xf numFmtId="49" fontId="6" fillId="0" borderId="0" xfId="2" quotePrefix="1" applyNumberFormat="1" applyFont="1" applyFill="1" applyBorder="1" applyAlignment="1">
      <alignment horizontal="left" vertical="center" wrapText="1"/>
    </xf>
    <xf numFmtId="0" fontId="11" fillId="0" borderId="0" xfId="2" applyNumberFormat="1" applyFont="1" applyFill="1" applyBorder="1" applyAlignment="1">
      <alignment horizontal="center"/>
    </xf>
    <xf numFmtId="0" fontId="11" fillId="0" borderId="0" xfId="2" quotePrefix="1" applyNumberFormat="1" applyFont="1" applyFill="1" applyBorder="1" applyAlignment="1">
      <alignment horizontal="left" vertical="center" wrapText="1"/>
    </xf>
    <xf numFmtId="49" fontId="11" fillId="0" borderId="0" xfId="2" quotePrefix="1" applyNumberFormat="1" applyFont="1" applyFill="1" applyBorder="1" applyAlignment="1">
      <alignment horizontal="left" vertical="center" wrapText="1"/>
    </xf>
    <xf numFmtId="49" fontId="11" fillId="0" borderId="8" xfId="2" quotePrefix="1" applyNumberFormat="1" applyFont="1" applyFill="1" applyBorder="1" applyAlignment="1">
      <alignment horizontal="left" vertical="center" wrapText="1"/>
    </xf>
    <xf numFmtId="4" fontId="4" fillId="0" borderId="5" xfId="2" quotePrefix="1" applyNumberFormat="1" applyFont="1" applyFill="1" applyBorder="1" applyAlignment="1">
      <alignment horizontal="left" vertical="center" wrapText="1"/>
    </xf>
    <xf numFmtId="4" fontId="4" fillId="0" borderId="0" xfId="2" quotePrefix="1" applyNumberFormat="1" applyFont="1" applyFill="1" applyBorder="1" applyAlignment="1">
      <alignment horizontal="left" vertical="center" wrapText="1"/>
    </xf>
    <xf numFmtId="49" fontId="19" fillId="0" borderId="5" xfId="2" quotePrefix="1" applyNumberFormat="1" applyFont="1" applyFill="1" applyBorder="1" applyAlignment="1">
      <alignment horizontal="right" vertical="center" wrapText="1"/>
    </xf>
    <xf numFmtId="49" fontId="19" fillId="0" borderId="0" xfId="2" quotePrefix="1" applyNumberFormat="1" applyFont="1" applyFill="1" applyBorder="1" applyAlignment="1">
      <alignment horizontal="right" vertical="center" wrapText="1"/>
    </xf>
    <xf numFmtId="49" fontId="19" fillId="0" borderId="8" xfId="2" quotePrefix="1" applyNumberFormat="1" applyFont="1" applyFill="1" applyBorder="1" applyAlignment="1">
      <alignment horizontal="right" vertical="center" wrapText="1"/>
    </xf>
    <xf numFmtId="164" fontId="6" fillId="0" borderId="0" xfId="2" quotePrefix="1" applyNumberFormat="1" applyFont="1" applyBorder="1" applyAlignment="1">
      <alignment horizontal="left" vertical="center" wrapText="1"/>
    </xf>
    <xf numFmtId="164" fontId="1" fillId="0" borderId="0" xfId="2" applyNumberFormat="1" applyFont="1" applyBorder="1" applyAlignment="1">
      <alignment horizontal="left" vertical="center" wrapText="1"/>
    </xf>
    <xf numFmtId="0" fontId="12" fillId="5" borderId="26" xfId="2" quotePrefix="1" applyNumberFormat="1" applyFont="1" applyFill="1" applyBorder="1" applyAlignment="1">
      <alignment horizontal="center" vertical="center" wrapText="1"/>
    </xf>
    <xf numFmtId="4" fontId="12" fillId="5" borderId="26" xfId="2" quotePrefix="1" applyNumberFormat="1" applyFont="1" applyFill="1" applyBorder="1" applyAlignment="1">
      <alignment horizontal="right" vertical="center" wrapText="1"/>
    </xf>
    <xf numFmtId="0" fontId="6" fillId="0" borderId="26" xfId="2" applyNumberFormat="1" applyFont="1" applyFill="1" applyBorder="1" applyAlignment="1">
      <alignment horizontal="right"/>
    </xf>
    <xf numFmtId="0" fontId="6" fillId="0" borderId="26" xfId="2" applyNumberFormat="1" applyFont="1" applyFill="1" applyBorder="1" applyAlignment="1">
      <alignment horizontal="center"/>
    </xf>
    <xf numFmtId="0" fontId="6" fillId="0" borderId="26" xfId="2" applyNumberFormat="1" applyFont="1" applyFill="1" applyBorder="1" applyAlignment="1">
      <alignment horizontal="left"/>
    </xf>
    <xf numFmtId="0" fontId="6" fillId="0" borderId="32" xfId="2" applyNumberFormat="1" applyFont="1" applyFill="1" applyBorder="1" applyAlignment="1">
      <alignment horizontal="left"/>
    </xf>
    <xf numFmtId="2" fontId="6" fillId="0" borderId="0" xfId="2" quotePrefix="1" applyNumberFormat="1" applyFont="1" applyBorder="1" applyAlignment="1">
      <alignment horizontal="left" vertical="center" wrapText="1"/>
    </xf>
    <xf numFmtId="2" fontId="1" fillId="0" borderId="0" xfId="2" applyNumberFormat="1" applyFont="1" applyBorder="1" applyAlignment="1">
      <alignment horizontal="left" vertical="center" wrapText="1"/>
    </xf>
    <xf numFmtId="0" fontId="4" fillId="0" borderId="9" xfId="2" applyNumberFormat="1" applyFont="1" applyBorder="1" applyAlignment="1">
      <alignment horizontal="right" vertical="center"/>
    </xf>
    <xf numFmtId="0" fontId="4" fillId="0" borderId="26" xfId="2" applyNumberFormat="1" applyFont="1" applyBorder="1" applyAlignment="1">
      <alignment horizontal="right" vertical="center"/>
    </xf>
    <xf numFmtId="49" fontId="4" fillId="0" borderId="26" xfId="2" applyNumberFormat="1" applyFont="1" applyFill="1" applyBorder="1" applyAlignment="1">
      <alignment horizontal="right" vertical="center"/>
    </xf>
    <xf numFmtId="0" fontId="4" fillId="0" borderId="26" xfId="2" applyNumberFormat="1" applyFont="1" applyFill="1" applyBorder="1" applyAlignment="1">
      <alignment horizontal="right" vertical="center"/>
    </xf>
    <xf numFmtId="49" fontId="4" fillId="0" borderId="26" xfId="2" applyNumberFormat="1" applyFont="1" applyFill="1" applyBorder="1" applyAlignment="1">
      <alignment horizontal="left" vertical="center"/>
    </xf>
    <xf numFmtId="0" fontId="4" fillId="0" borderId="26" xfId="2" applyNumberFormat="1" applyFont="1" applyFill="1" applyBorder="1" applyAlignment="1">
      <alignment horizontal="left" vertical="center"/>
    </xf>
    <xf numFmtId="4" fontId="6" fillId="0" borderId="14" xfId="2" quotePrefix="1" applyNumberFormat="1" applyFont="1" applyFill="1" applyBorder="1" applyAlignment="1">
      <alignment horizontal="center" vertical="center" wrapText="1"/>
    </xf>
    <xf numFmtId="49" fontId="19" fillId="0" borderId="5" xfId="2" quotePrefix="1" applyNumberFormat="1" applyFont="1" applyFill="1" applyBorder="1" applyAlignment="1">
      <alignment horizontal="left" vertical="top" wrapText="1"/>
    </xf>
    <xf numFmtId="49" fontId="19" fillId="0" borderId="0" xfId="2" quotePrefix="1" applyNumberFormat="1" applyFont="1" applyFill="1" applyBorder="1" applyAlignment="1">
      <alignment horizontal="left" vertical="top" wrapText="1"/>
    </xf>
    <xf numFmtId="49" fontId="19" fillId="0" borderId="8" xfId="2" quotePrefix="1" applyNumberFormat="1" applyFont="1" applyFill="1" applyBorder="1" applyAlignment="1">
      <alignment horizontal="left" vertical="top" wrapText="1"/>
    </xf>
    <xf numFmtId="49" fontId="19" fillId="0" borderId="36" xfId="2" quotePrefix="1" applyNumberFormat="1" applyFont="1" applyFill="1" applyBorder="1" applyAlignment="1">
      <alignment horizontal="left" vertical="top" wrapText="1"/>
    </xf>
    <xf numFmtId="49" fontId="19" fillId="0" borderId="14" xfId="2" quotePrefix="1" applyNumberFormat="1" applyFont="1" applyFill="1" applyBorder="1" applyAlignment="1">
      <alignment horizontal="left" vertical="top" wrapText="1"/>
    </xf>
    <xf numFmtId="49" fontId="19" fillId="0" borderId="34" xfId="2" quotePrefix="1" applyNumberFormat="1" applyFont="1" applyFill="1" applyBorder="1" applyAlignment="1">
      <alignment horizontal="left" vertical="top" wrapText="1"/>
    </xf>
    <xf numFmtId="9" fontId="4" fillId="0" borderId="0" xfId="2" applyNumberFormat="1" applyFont="1" applyBorder="1" applyAlignment="1">
      <alignment horizontal="left" vertical="center"/>
    </xf>
    <xf numFmtId="0" fontId="4" fillId="0" borderId="0" xfId="2" applyNumberFormat="1" applyFont="1" applyBorder="1" applyAlignment="1">
      <alignment horizontal="left" vertical="center"/>
    </xf>
    <xf numFmtId="49" fontId="4" fillId="0" borderId="6" xfId="2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4" fillId="0" borderId="8" xfId="2" applyNumberFormat="1" applyFont="1" applyBorder="1" applyAlignment="1">
      <alignment horizontal="center" vertical="center"/>
    </xf>
    <xf numFmtId="49" fontId="5" fillId="4" borderId="12" xfId="2" applyNumberFormat="1" applyFont="1" applyFill="1" applyBorder="1" applyAlignment="1">
      <alignment horizontal="center" vertical="center"/>
    </xf>
    <xf numFmtId="49" fontId="5" fillId="4" borderId="12" xfId="2" applyNumberFormat="1" applyFont="1" applyFill="1" applyBorder="1" applyAlignment="1">
      <alignment horizontal="center" vertical="center" wrapText="1"/>
    </xf>
    <xf numFmtId="49" fontId="12" fillId="4" borderId="20" xfId="2" applyNumberFormat="1" applyFont="1" applyFill="1" applyBorder="1" applyAlignment="1">
      <alignment horizontal="center" vertical="center" wrapText="1"/>
    </xf>
    <xf numFmtId="49" fontId="12" fillId="4" borderId="18" xfId="2" applyNumberFormat="1" applyFont="1" applyFill="1" applyBorder="1" applyAlignment="1">
      <alignment horizontal="center" vertical="center" wrapText="1"/>
    </xf>
    <xf numFmtId="49" fontId="12" fillId="4" borderId="19" xfId="2" applyNumberFormat="1" applyFont="1" applyFill="1" applyBorder="1" applyAlignment="1">
      <alignment horizontal="center" vertical="center" wrapText="1"/>
    </xf>
    <xf numFmtId="49" fontId="5" fillId="0" borderId="45" xfId="2" applyNumberFormat="1" applyFont="1" applyBorder="1" applyAlignment="1">
      <alignment horizontal="right" vertical="center"/>
    </xf>
    <xf numFmtId="49" fontId="5" fillId="0" borderId="2" xfId="2" applyNumberFormat="1" applyFont="1" applyBorder="1" applyAlignment="1">
      <alignment horizontal="right" vertical="center"/>
    </xf>
    <xf numFmtId="49" fontId="5" fillId="0" borderId="3" xfId="2" applyNumberFormat="1" applyFont="1" applyBorder="1" applyAlignment="1">
      <alignment horizontal="right" vertical="center"/>
    </xf>
    <xf numFmtId="49" fontId="12" fillId="0" borderId="45" xfId="2" applyNumberFormat="1" applyFont="1" applyBorder="1" applyAlignment="1">
      <alignment horizontal="center" vertical="center"/>
    </xf>
    <xf numFmtId="49" fontId="12" fillId="0" borderId="2" xfId="2" applyNumberFormat="1" applyFont="1" applyBorder="1" applyAlignment="1">
      <alignment horizontal="center" vertical="center"/>
    </xf>
    <xf numFmtId="49" fontId="12" fillId="0" borderId="3" xfId="2" applyNumberFormat="1" applyFont="1" applyBorder="1" applyAlignment="1">
      <alignment horizontal="center" vertical="center"/>
    </xf>
    <xf numFmtId="2" fontId="12" fillId="0" borderId="45" xfId="2" applyNumberFormat="1" applyFont="1" applyBorder="1" applyAlignment="1">
      <alignment horizontal="center" vertical="center" wrapText="1"/>
    </xf>
    <xf numFmtId="2" fontId="12" fillId="0" borderId="2" xfId="2" applyNumberFormat="1" applyFont="1" applyBorder="1" applyAlignment="1">
      <alignment horizontal="center" vertical="center" wrapText="1"/>
    </xf>
    <xf numFmtId="2" fontId="12" fillId="0" borderId="46" xfId="2" applyNumberFormat="1" applyFont="1" applyBorder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/>
    </xf>
    <xf numFmtId="49" fontId="6" fillId="0" borderId="26" xfId="2" applyNumberFormat="1" applyFont="1" applyBorder="1" applyAlignment="1">
      <alignment horizontal="center" vertical="center"/>
    </xf>
    <xf numFmtId="49" fontId="6" fillId="0" borderId="47" xfId="2" applyNumberFormat="1" applyFont="1" applyBorder="1" applyAlignment="1">
      <alignment horizontal="center" vertical="center"/>
    </xf>
    <xf numFmtId="49" fontId="6" fillId="0" borderId="51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50" xfId="2" applyNumberFormat="1" applyFont="1" applyBorder="1" applyAlignment="1">
      <alignment horizontal="left" vertical="center" wrapText="1"/>
    </xf>
    <xf numFmtId="49" fontId="6" fillId="0" borderId="26" xfId="2" applyNumberFormat="1" applyFont="1" applyBorder="1" applyAlignment="1">
      <alignment horizontal="left" vertical="center" wrapText="1"/>
    </xf>
    <xf numFmtId="49" fontId="6" fillId="0" borderId="47" xfId="2" applyNumberFormat="1" applyFont="1" applyBorder="1" applyAlignment="1">
      <alignment horizontal="left" vertical="center" wrapText="1"/>
    </xf>
    <xf numFmtId="49" fontId="6" fillId="0" borderId="52" xfId="2" applyNumberFormat="1" applyFont="1" applyBorder="1" applyAlignment="1">
      <alignment horizontal="left" vertical="center" wrapText="1"/>
    </xf>
    <xf numFmtId="49" fontId="6" fillId="0" borderId="4" xfId="2" applyNumberFormat="1" applyFont="1" applyBorder="1" applyAlignment="1">
      <alignment horizontal="left" vertical="center" wrapText="1"/>
    </xf>
    <xf numFmtId="49" fontId="6" fillId="0" borderId="7" xfId="2" applyNumberFormat="1" applyFont="1" applyBorder="1" applyAlignment="1">
      <alignment horizontal="left" vertical="center" wrapText="1"/>
    </xf>
    <xf numFmtId="49" fontId="6" fillId="0" borderId="50" xfId="2" applyNumberFormat="1" applyFont="1" applyBorder="1" applyAlignment="1">
      <alignment horizontal="center" vertical="center"/>
    </xf>
    <xf numFmtId="165" fontId="4" fillId="0" borderId="50" xfId="2" applyNumberFormat="1" applyFont="1" applyBorder="1" applyAlignment="1">
      <alignment horizontal="center" vertical="center"/>
    </xf>
    <xf numFmtId="165" fontId="4" fillId="0" borderId="26" xfId="2" applyNumberFormat="1" applyFont="1" applyBorder="1" applyAlignment="1">
      <alignment horizontal="center" vertical="center"/>
    </xf>
    <xf numFmtId="165" fontId="4" fillId="0" borderId="47" xfId="2" applyNumberFormat="1" applyFont="1" applyBorder="1" applyAlignment="1">
      <alignment horizontal="center" vertical="center"/>
    </xf>
    <xf numFmtId="49" fontId="4" fillId="0" borderId="50" xfId="2" applyNumberFormat="1" applyFont="1" applyBorder="1" applyAlignment="1">
      <alignment horizontal="center" vertical="center"/>
    </xf>
    <xf numFmtId="49" fontId="4" fillId="0" borderId="26" xfId="2" applyNumberFormat="1" applyFont="1" applyBorder="1" applyAlignment="1">
      <alignment horizontal="center" vertical="center"/>
    </xf>
    <xf numFmtId="49" fontId="4" fillId="0" borderId="32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49" fontId="6" fillId="0" borderId="27" xfId="2" applyNumberFormat="1" applyFont="1" applyBorder="1" applyAlignment="1">
      <alignment horizontal="center" vertical="center"/>
    </xf>
    <xf numFmtId="165" fontId="4" fillId="0" borderId="52" xfId="2" applyNumberFormat="1" applyFont="1" applyBorder="1" applyAlignment="1">
      <alignment horizontal="center" vertical="center"/>
    </xf>
    <xf numFmtId="165" fontId="4" fillId="0" borderId="4" xfId="2" applyNumberFormat="1" applyFont="1" applyBorder="1" applyAlignment="1">
      <alignment horizontal="center" vertical="center"/>
    </xf>
    <xf numFmtId="165" fontId="4" fillId="0" borderId="7" xfId="2" applyNumberFormat="1" applyFont="1" applyBorder="1" applyAlignment="1">
      <alignment horizontal="center" vertical="center"/>
    </xf>
    <xf numFmtId="49" fontId="6" fillId="0" borderId="48" xfId="2" applyNumberFormat="1" applyFont="1" applyBorder="1" applyAlignment="1">
      <alignment horizontal="left" vertical="center" wrapText="1"/>
    </xf>
    <xf numFmtId="49" fontId="6" fillId="0" borderId="38" xfId="2" quotePrefix="1" applyNumberFormat="1" applyFont="1" applyBorder="1" applyAlignment="1">
      <alignment horizontal="left" vertical="center" wrapText="1"/>
    </xf>
    <xf numFmtId="49" fontId="6" fillId="0" borderId="49" xfId="2" quotePrefix="1" applyNumberFormat="1" applyFont="1" applyBorder="1" applyAlignment="1">
      <alignment horizontal="left" vertical="center" wrapText="1"/>
    </xf>
    <xf numFmtId="49" fontId="4" fillId="0" borderId="48" xfId="2" applyNumberFormat="1" applyFont="1" applyBorder="1" applyAlignment="1">
      <alignment horizontal="center" vertical="center"/>
    </xf>
    <xf numFmtId="49" fontId="4" fillId="0" borderId="38" xfId="2" applyNumberFormat="1" applyFont="1" applyBorder="1" applyAlignment="1">
      <alignment horizontal="center" vertical="center"/>
    </xf>
    <xf numFmtId="49" fontId="4" fillId="0" borderId="49" xfId="2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49" fontId="6" fillId="0" borderId="0" xfId="2" applyNumberFormat="1" applyFont="1" applyBorder="1" applyAlignment="1">
      <alignment horizontal="center"/>
    </xf>
    <xf numFmtId="49" fontId="12" fillId="4" borderId="18" xfId="2" quotePrefix="1" applyNumberFormat="1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19" xfId="2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49" fontId="5" fillId="5" borderId="12" xfId="2" applyNumberFormat="1" applyFont="1" applyFill="1" applyBorder="1" applyAlignment="1">
      <alignment horizontal="center" vertical="center" wrapText="1"/>
    </xf>
    <xf numFmtId="49" fontId="12" fillId="5" borderId="12" xfId="2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2" fontId="6" fillId="0" borderId="0" xfId="2" applyNumberFormat="1" applyFont="1" applyBorder="1" applyAlignment="1">
      <alignment horizontal="left"/>
    </xf>
    <xf numFmtId="2" fontId="6" fillId="0" borderId="0" xfId="2" applyNumberFormat="1" applyFont="1" applyBorder="1" applyAlignment="1">
      <alignment horizontal="center"/>
    </xf>
    <xf numFmtId="49" fontId="5" fillId="2" borderId="18" xfId="2" applyNumberFormat="1" applyFont="1" applyFill="1" applyBorder="1" applyAlignment="1">
      <alignment horizontal="left" vertical="center" wrapText="1"/>
    </xf>
    <xf numFmtId="49" fontId="5" fillId="2" borderId="19" xfId="2" applyNumberFormat="1" applyFont="1" applyFill="1" applyBorder="1" applyAlignment="1">
      <alignment horizontal="left" vertical="center" wrapText="1"/>
    </xf>
    <xf numFmtId="49" fontId="5" fillId="2" borderId="18" xfId="2" applyNumberFormat="1" applyFont="1" applyFill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2" applyNumberFormat="1" applyFont="1" applyBorder="1" applyAlignment="1">
      <alignment horizontal="center" vertical="center"/>
    </xf>
    <xf numFmtId="49" fontId="4" fillId="0" borderId="22" xfId="2" applyNumberFormat="1" applyFont="1" applyBorder="1" applyAlignment="1">
      <alignment horizontal="center" vertical="center"/>
    </xf>
    <xf numFmtId="49" fontId="4" fillId="0" borderId="22" xfId="2" applyNumberFormat="1" applyFont="1" applyBorder="1" applyAlignment="1">
      <alignment horizontal="center"/>
    </xf>
    <xf numFmtId="49" fontId="4" fillId="0" borderId="44" xfId="2" applyNumberFormat="1" applyFont="1" applyBorder="1" applyAlignment="1">
      <alignment horizontal="center"/>
    </xf>
    <xf numFmtId="0" fontId="13" fillId="0" borderId="0" xfId="2" applyFont="1" applyBorder="1" applyAlignment="1">
      <alignment horizontal="left"/>
    </xf>
    <xf numFmtId="49" fontId="5" fillId="4" borderId="20" xfId="2" quotePrefix="1" applyNumberFormat="1" applyFont="1" applyFill="1" applyBorder="1" applyAlignment="1">
      <alignment horizontal="center" vertical="center" wrapText="1"/>
    </xf>
    <xf numFmtId="49" fontId="5" fillId="4" borderId="18" xfId="2" quotePrefix="1" applyNumberFormat="1" applyFont="1" applyFill="1" applyBorder="1" applyAlignment="1">
      <alignment horizontal="center" vertical="center" wrapText="1"/>
    </xf>
    <xf numFmtId="49" fontId="5" fillId="4" borderId="19" xfId="2" quotePrefix="1" applyNumberFormat="1" applyFont="1" applyFill="1" applyBorder="1" applyAlignment="1">
      <alignment horizontal="center" vertical="center" wrapText="1"/>
    </xf>
    <xf numFmtId="0" fontId="21" fillId="5" borderId="38" xfId="2" applyNumberFormat="1" applyFont="1" applyFill="1" applyBorder="1" applyAlignment="1">
      <alignment horizontal="right" vertical="center" wrapText="1"/>
    </xf>
    <xf numFmtId="0" fontId="21" fillId="5" borderId="41" xfId="2" applyNumberFormat="1" applyFont="1" applyFill="1" applyBorder="1" applyAlignment="1">
      <alignment horizontal="right" vertical="center" wrapText="1"/>
    </xf>
    <xf numFmtId="49" fontId="6" fillId="0" borderId="5" xfId="2" quotePrefix="1" applyNumberFormat="1" applyFont="1" applyFill="1" applyBorder="1" applyAlignment="1">
      <alignment horizontal="center" vertical="center" wrapText="1"/>
    </xf>
    <xf numFmtId="49" fontId="6" fillId="0" borderId="0" xfId="2" quotePrefix="1" applyNumberFormat="1" applyFont="1" applyFill="1" applyBorder="1" applyAlignment="1">
      <alignment horizontal="center" vertical="center" wrapText="1"/>
    </xf>
    <xf numFmtId="49" fontId="6" fillId="0" borderId="8" xfId="2" quotePrefix="1" applyNumberFormat="1" applyFont="1" applyFill="1" applyBorder="1" applyAlignment="1">
      <alignment horizontal="center" vertical="center" wrapText="1"/>
    </xf>
    <xf numFmtId="1" fontId="5" fillId="5" borderId="43" xfId="2" applyNumberFormat="1" applyFont="1" applyFill="1" applyBorder="1" applyAlignment="1">
      <alignment horizontal="right" vertical="center" wrapText="1"/>
    </xf>
    <xf numFmtId="0" fontId="5" fillId="5" borderId="39" xfId="2" applyNumberFormat="1" applyFont="1" applyFill="1" applyBorder="1" applyAlignment="1">
      <alignment horizontal="right" vertical="center" wrapText="1"/>
    </xf>
    <xf numFmtId="0" fontId="6" fillId="0" borderId="0" xfId="2" quotePrefix="1" applyNumberFormat="1" applyFont="1" applyFill="1" applyBorder="1" applyAlignment="1">
      <alignment horizontal="left" vertical="center" wrapText="1"/>
    </xf>
    <xf numFmtId="49" fontId="6" fillId="0" borderId="8" xfId="2" quotePrefix="1" applyNumberFormat="1" applyFont="1" applyFill="1" applyBorder="1" applyAlignment="1">
      <alignment horizontal="left" vertical="center" wrapText="1"/>
    </xf>
    <xf numFmtId="49" fontId="6" fillId="0" borderId="28" xfId="2" applyNumberFormat="1" applyFont="1" applyFill="1" applyBorder="1" applyAlignment="1">
      <alignment horizontal="center"/>
    </xf>
    <xf numFmtId="49" fontId="6" fillId="0" borderId="25" xfId="2" applyNumberFormat="1" applyFont="1" applyFill="1" applyBorder="1" applyAlignment="1">
      <alignment horizontal="center"/>
    </xf>
    <xf numFmtId="49" fontId="6" fillId="0" borderId="29" xfId="2" applyNumberFormat="1" applyFont="1" applyFill="1" applyBorder="1" applyAlignment="1">
      <alignment horizontal="center"/>
    </xf>
    <xf numFmtId="2" fontId="5" fillId="5" borderId="39" xfId="2" applyNumberFormat="1" applyFont="1" applyFill="1" applyBorder="1" applyAlignment="1">
      <alignment horizontal="left" vertical="center" wrapText="1"/>
    </xf>
    <xf numFmtId="1" fontId="5" fillId="5" borderId="37" xfId="2" applyNumberFormat="1" applyFont="1" applyFill="1" applyBorder="1" applyAlignment="1">
      <alignment horizontal="center" vertical="center" wrapText="1"/>
    </xf>
    <xf numFmtId="0" fontId="5" fillId="5" borderId="38" xfId="2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left"/>
    </xf>
    <xf numFmtId="0" fontId="20" fillId="0" borderId="5" xfId="2" quotePrefix="1" applyNumberFormat="1" applyFont="1" applyFill="1" applyBorder="1" applyAlignment="1">
      <alignment vertical="top" wrapText="1"/>
    </xf>
    <xf numFmtId="0" fontId="20" fillId="0" borderId="0" xfId="2" quotePrefix="1" applyNumberFormat="1" applyFont="1" applyFill="1" applyBorder="1" applyAlignment="1">
      <alignment vertical="top" wrapText="1"/>
    </xf>
    <xf numFmtId="0" fontId="20" fillId="0" borderId="8" xfId="2" quotePrefix="1" applyNumberFormat="1" applyFont="1" applyFill="1" applyBorder="1" applyAlignment="1">
      <alignment vertical="top" wrapText="1"/>
    </xf>
    <xf numFmtId="167" fontId="6" fillId="0" borderId="14" xfId="2" quotePrefix="1" applyNumberFormat="1" applyFont="1" applyFill="1" applyBorder="1" applyAlignment="1">
      <alignment horizontal="left" vertical="center" wrapText="1"/>
    </xf>
    <xf numFmtId="0" fontId="21" fillId="5" borderId="38" xfId="2" applyNumberFormat="1" applyFont="1" applyFill="1" applyBorder="1" applyAlignment="1">
      <alignment horizontal="right" vertical="center" shrinkToFit="1"/>
    </xf>
    <xf numFmtId="0" fontId="21" fillId="5" borderId="41" xfId="2" applyNumberFormat="1" applyFont="1" applyFill="1" applyBorder="1" applyAlignment="1">
      <alignment horizontal="right" vertical="center" shrinkToFit="1"/>
    </xf>
    <xf numFmtId="49" fontId="6" fillId="0" borderId="5" xfId="2" applyNumberFormat="1" applyFont="1" applyFill="1" applyBorder="1" applyAlignment="1">
      <alignment horizontal="right"/>
    </xf>
    <xf numFmtId="49" fontId="6" fillId="0" borderId="0" xfId="2" applyNumberFormat="1" applyFont="1" applyFill="1" applyBorder="1" applyAlignment="1">
      <alignment horizontal="right"/>
    </xf>
    <xf numFmtId="3" fontId="6" fillId="0" borderId="8" xfId="2" applyNumberFormat="1" applyFont="1" applyFill="1" applyBorder="1" applyAlignment="1">
      <alignment horizontal="left"/>
    </xf>
    <xf numFmtId="3" fontId="6" fillId="0" borderId="14" xfId="2" quotePrefix="1" applyNumberFormat="1" applyFont="1" applyFill="1" applyBorder="1" applyAlignment="1">
      <alignment horizontal="left" vertical="center" wrapText="1"/>
    </xf>
    <xf numFmtId="1" fontId="5" fillId="5" borderId="37" xfId="2" applyNumberFormat="1" applyFont="1" applyFill="1" applyBorder="1" applyAlignment="1">
      <alignment horizontal="right" vertical="top" wrapText="1"/>
    </xf>
    <xf numFmtId="0" fontId="5" fillId="5" borderId="38" xfId="2" applyNumberFormat="1" applyFont="1" applyFill="1" applyBorder="1" applyAlignment="1">
      <alignment horizontal="right" vertical="top" wrapText="1"/>
    </xf>
    <xf numFmtId="0" fontId="4" fillId="0" borderId="5" xfId="2" quotePrefix="1" applyNumberFormat="1" applyFont="1" applyBorder="1" applyAlignment="1">
      <alignment horizontal="right" vertical="center" wrapText="1"/>
    </xf>
    <xf numFmtId="0" fontId="4" fillId="0" borderId="0" xfId="2" quotePrefix="1" applyNumberFormat="1" applyFont="1" applyBorder="1" applyAlignment="1">
      <alignment horizontal="right" vertical="center" wrapText="1"/>
    </xf>
    <xf numFmtId="0" fontId="4" fillId="0" borderId="36" xfId="2" quotePrefix="1" applyNumberFormat="1" applyFont="1" applyBorder="1" applyAlignment="1">
      <alignment horizontal="right" vertical="center" wrapText="1"/>
    </xf>
    <xf numFmtId="0" fontId="4" fillId="0" borderId="14" xfId="2" quotePrefix="1" applyNumberFormat="1" applyFont="1" applyBorder="1" applyAlignment="1">
      <alignment horizontal="right" vertical="center" wrapText="1"/>
    </xf>
    <xf numFmtId="49" fontId="21" fillId="0" borderId="5" xfId="2" applyNumberFormat="1" applyFont="1" applyFill="1" applyBorder="1" applyAlignment="1">
      <alignment horizontal="right"/>
    </xf>
    <xf numFmtId="49" fontId="21" fillId="0" borderId="0" xfId="2" applyNumberFormat="1" applyFont="1" applyFill="1" applyBorder="1" applyAlignment="1">
      <alignment horizontal="right"/>
    </xf>
    <xf numFmtId="49" fontId="21" fillId="0" borderId="8" xfId="2" applyNumberFormat="1" applyFont="1" applyFill="1" applyBorder="1" applyAlignment="1">
      <alignment horizontal="right"/>
    </xf>
    <xf numFmtId="49" fontId="6" fillId="0" borderId="9" xfId="2" quotePrefix="1" applyNumberFormat="1" applyFont="1" applyFill="1" applyBorder="1" applyAlignment="1">
      <alignment horizontal="left" vertical="center" wrapText="1"/>
    </xf>
    <xf numFmtId="49" fontId="6" fillId="0" borderId="26" xfId="2" quotePrefix="1" applyNumberFormat="1" applyFont="1" applyFill="1" applyBorder="1" applyAlignment="1">
      <alignment horizontal="left" vertical="center" wrapText="1"/>
    </xf>
    <xf numFmtId="49" fontId="6" fillId="0" borderId="32" xfId="2" quotePrefix="1" applyNumberFormat="1" applyFont="1" applyFill="1" applyBorder="1" applyAlignment="1">
      <alignment horizontal="left" vertical="center" wrapText="1"/>
    </xf>
    <xf numFmtId="49" fontId="21" fillId="0" borderId="9" xfId="2" applyNumberFormat="1" applyFont="1" applyFill="1" applyBorder="1" applyAlignment="1">
      <alignment horizontal="right"/>
    </xf>
    <xf numFmtId="49" fontId="21" fillId="0" borderId="26" xfId="2" applyNumberFormat="1" applyFont="1" applyFill="1" applyBorder="1" applyAlignment="1">
      <alignment horizontal="right"/>
    </xf>
    <xf numFmtId="49" fontId="21" fillId="0" borderId="32" xfId="2" applyNumberFormat="1" applyFont="1" applyFill="1" applyBorder="1" applyAlignment="1">
      <alignment horizontal="right"/>
    </xf>
    <xf numFmtId="49" fontId="5" fillId="0" borderId="36" xfId="2" quotePrefix="1" applyNumberFormat="1" applyFont="1" applyFill="1" applyBorder="1" applyAlignment="1">
      <alignment horizontal="right" vertical="center" wrapText="1"/>
    </xf>
    <xf numFmtId="49" fontId="5" fillId="0" borderId="14" xfId="2" quotePrefix="1" applyNumberFormat="1" applyFont="1" applyFill="1" applyBorder="1" applyAlignment="1">
      <alignment horizontal="right" vertical="center" wrapText="1"/>
    </xf>
    <xf numFmtId="4" fontId="6" fillId="0" borderId="0" xfId="2" applyNumberFormat="1" applyFont="1" applyFill="1" applyBorder="1" applyAlignment="1">
      <alignment horizontal="center"/>
    </xf>
    <xf numFmtId="0" fontId="12" fillId="0" borderId="14" xfId="2" quotePrefix="1" applyNumberFormat="1" applyFont="1" applyFill="1" applyBorder="1" applyAlignment="1">
      <alignment horizontal="center" vertical="center" wrapText="1"/>
    </xf>
    <xf numFmtId="4" fontId="12" fillId="0" borderId="14" xfId="2" quotePrefix="1" applyNumberFormat="1" applyFont="1" applyFill="1" applyBorder="1" applyAlignment="1">
      <alignment horizontal="center" vertical="center" wrapText="1"/>
    </xf>
    <xf numFmtId="49" fontId="5" fillId="0" borderId="14" xfId="2" applyNumberFormat="1" applyFont="1" applyFill="1" applyBorder="1" applyAlignment="1">
      <alignment horizontal="left"/>
    </xf>
    <xf numFmtId="49" fontId="5" fillId="0" borderId="34" xfId="2" applyNumberFormat="1" applyFont="1" applyFill="1" applyBorder="1" applyAlignment="1">
      <alignment horizontal="left"/>
    </xf>
    <xf numFmtId="49" fontId="5" fillId="0" borderId="5" xfId="2" quotePrefix="1" applyNumberFormat="1" applyFont="1" applyFill="1" applyBorder="1" applyAlignment="1">
      <alignment horizontal="right" vertical="center" wrapText="1"/>
    </xf>
    <xf numFmtId="49" fontId="5" fillId="0" borderId="0" xfId="2" quotePrefix="1" applyNumberFormat="1" applyFont="1" applyFill="1" applyBorder="1" applyAlignment="1">
      <alignment horizontal="right" vertical="center" wrapText="1"/>
    </xf>
    <xf numFmtId="0" fontId="12" fillId="0" borderId="0" xfId="2" quotePrefix="1" applyNumberFormat="1" applyFont="1" applyFill="1" applyBorder="1" applyAlignment="1">
      <alignment horizontal="center" vertical="center" wrapText="1"/>
    </xf>
    <xf numFmtId="4" fontId="12" fillId="0" borderId="0" xfId="2" quotePrefix="1" applyNumberFormat="1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left"/>
    </xf>
    <xf numFmtId="49" fontId="5" fillId="0" borderId="8" xfId="2" applyNumberFormat="1" applyFont="1" applyFill="1" applyBorder="1" applyAlignment="1">
      <alignment horizontal="left"/>
    </xf>
    <xf numFmtId="0" fontId="4" fillId="0" borderId="28" xfId="2" applyNumberFormat="1" applyFont="1" applyBorder="1" applyAlignment="1">
      <alignment horizontal="center" vertical="center"/>
    </xf>
    <xf numFmtId="0" fontId="4" fillId="0" borderId="25" xfId="2" applyNumberFormat="1" applyFont="1" applyBorder="1" applyAlignment="1">
      <alignment horizontal="center" vertical="center"/>
    </xf>
    <xf numFmtId="4" fontId="6" fillId="0" borderId="25" xfId="2" applyNumberFormat="1" applyFont="1" applyFill="1" applyBorder="1" applyAlignment="1">
      <alignment horizontal="left" vertical="center" wrapText="1"/>
    </xf>
    <xf numFmtId="0" fontId="6" fillId="0" borderId="25" xfId="2" applyNumberFormat="1" applyFont="1" applyFill="1" applyBorder="1" applyAlignment="1">
      <alignment horizontal="left" vertical="center" wrapText="1"/>
    </xf>
    <xf numFmtId="2" fontId="6" fillId="0" borderId="0" xfId="2" applyNumberFormat="1" applyFont="1" applyFill="1" applyBorder="1" applyAlignment="1">
      <alignment horizontal="center"/>
    </xf>
    <xf numFmtId="167" fontId="6" fillId="0" borderId="0" xfId="2" applyNumberFormat="1" applyFont="1" applyFill="1" applyBorder="1" applyAlignment="1">
      <alignment horizontal="left"/>
    </xf>
    <xf numFmtId="0" fontId="12" fillId="4" borderId="18" xfId="0" applyFont="1" applyFill="1" applyBorder="1" applyAlignment="1">
      <alignment horizontal="left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2">
    <dxf>
      <fill>
        <patternFill>
          <bgColor indexed="5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74544</xdr:colOff>
      <xdr:row>1</xdr:row>
      <xdr:rowOff>149088</xdr:rowOff>
    </xdr:from>
    <xdr:to>
      <xdr:col>1</xdr:col>
      <xdr:colOff>1896718</xdr:colOff>
      <xdr:row>4</xdr:row>
      <xdr:rowOff>273326</xdr:rowOff>
    </xdr:to>
    <xdr:sp macro="" textlink="">
      <xdr:nvSpPr>
        <xdr:cNvPr id="3" name="Стрелка: вправо 2" descr="период выпонения ">
          <a:extLst>
            <a:ext uri="{FF2B5EF4-FFF2-40B4-BE49-F238E27FC236}"/>
            <a:ext uri="{C183D7F6-B498-43B3-948B-1728B52AA6E4}"/>
          </a:extLst>
        </xdr:cNvPr>
        <xdr:cNvSpPr/>
      </xdr:nvSpPr>
      <xdr:spPr>
        <a:xfrm>
          <a:off x="74544" y="571501"/>
          <a:ext cx="2054087" cy="8862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chemeClr val="bg1"/>
              </a:solidFill>
            </a:rPr>
            <a:t>период выполнения  который меняется</a:t>
          </a:r>
          <a:endParaRPr lang="x-none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47624</xdr:colOff>
      <xdr:row>5</xdr:row>
      <xdr:rowOff>161511</xdr:rowOff>
    </xdr:from>
    <xdr:to>
      <xdr:col>1</xdr:col>
      <xdr:colOff>1868070</xdr:colOff>
      <xdr:row>8</xdr:row>
      <xdr:rowOff>259245</xdr:rowOff>
    </xdr:to>
    <xdr:sp macro="" textlink="">
      <xdr:nvSpPr>
        <xdr:cNvPr id="4" name="Стрелка: вправо 3" descr="период выпонения ">
          <a:extLst>
            <a:ext uri="{FF2B5EF4-FFF2-40B4-BE49-F238E27FC236}"/>
            <a:ext uri="{C183D7F6-B498-43B3-948B-1728B52AA6E4}"/>
          </a:extLst>
        </xdr:cNvPr>
        <xdr:cNvSpPr/>
      </xdr:nvSpPr>
      <xdr:spPr>
        <a:xfrm>
          <a:off x="955812" y="1709531"/>
          <a:ext cx="2054087" cy="88623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ru-RU" sz="1100">
              <a:solidFill>
                <a:schemeClr val="bg1"/>
              </a:solidFill>
            </a:rPr>
            <a:t>произведение индексов от июля 2023 по дату начала</a:t>
          </a:r>
          <a:endParaRPr lang="x-none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1954696</xdr:colOff>
      <xdr:row>2</xdr:row>
      <xdr:rowOff>99392</xdr:rowOff>
    </xdr:from>
    <xdr:to>
      <xdr:col>5</xdr:col>
      <xdr:colOff>8282</xdr:colOff>
      <xdr:row>4</xdr:row>
      <xdr:rowOff>66261</xdr:rowOff>
    </xdr:to>
    <xdr:sp macro="" textlink="">
      <xdr:nvSpPr>
        <xdr:cNvPr id="5" name="Прямоугольник 4">
          <a:extLst>
            <a:ext uri="{FF2B5EF4-FFF2-40B4-BE49-F238E27FC236}"/>
          </a:extLst>
        </xdr:cNvPr>
        <xdr:cNvSpPr/>
      </xdr:nvSpPr>
      <xdr:spPr>
        <a:xfrm>
          <a:off x="2186609" y="811696"/>
          <a:ext cx="877956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4</xdr:col>
      <xdr:colOff>301487</xdr:colOff>
      <xdr:row>6</xdr:row>
      <xdr:rowOff>110988</xdr:rowOff>
    </xdr:from>
    <xdr:to>
      <xdr:col>6</xdr:col>
      <xdr:colOff>33130</xdr:colOff>
      <xdr:row>8</xdr:row>
      <xdr:rowOff>69575</xdr:rowOff>
    </xdr:to>
    <xdr:sp macro="" textlink="">
      <xdr:nvSpPr>
        <xdr:cNvPr id="6" name="Прямоугольник 5">
          <a:extLst>
            <a:ext uri="{FF2B5EF4-FFF2-40B4-BE49-F238E27FC236}"/>
          </a:extLst>
        </xdr:cNvPr>
        <xdr:cNvSpPr/>
      </xdr:nvSpPr>
      <xdr:spPr>
        <a:xfrm>
          <a:off x="2976770" y="1908314"/>
          <a:ext cx="468795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5</xdr:col>
      <xdr:colOff>304800</xdr:colOff>
      <xdr:row>8</xdr:row>
      <xdr:rowOff>221975</xdr:rowOff>
    </xdr:from>
    <xdr:to>
      <xdr:col>7</xdr:col>
      <xdr:colOff>61291</xdr:colOff>
      <xdr:row>10</xdr:row>
      <xdr:rowOff>48040</xdr:rowOff>
    </xdr:to>
    <xdr:sp macro="" textlink="">
      <xdr:nvSpPr>
        <xdr:cNvPr id="7" name="Прямоугольник 6">
          <a:extLst>
            <a:ext uri="{FF2B5EF4-FFF2-40B4-BE49-F238E27FC236}"/>
          </a:extLst>
        </xdr:cNvPr>
        <xdr:cNvSpPr/>
      </xdr:nvSpPr>
      <xdr:spPr>
        <a:xfrm>
          <a:off x="3361083" y="2499692"/>
          <a:ext cx="468795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  <xdr:twoCellAnchor>
    <xdr:from>
      <xdr:col>6</xdr:col>
      <xdr:colOff>323023</xdr:colOff>
      <xdr:row>0</xdr:row>
      <xdr:rowOff>321365</xdr:rowOff>
    </xdr:from>
    <xdr:to>
      <xdr:col>14</xdr:col>
      <xdr:colOff>132522</xdr:colOff>
      <xdr:row>2</xdr:row>
      <xdr:rowOff>48039</xdr:rowOff>
    </xdr:to>
    <xdr:sp macro="" textlink="">
      <xdr:nvSpPr>
        <xdr:cNvPr id="9" name="Прямоугольник 8">
          <a:extLst>
            <a:ext uri="{FF2B5EF4-FFF2-40B4-BE49-F238E27FC236}"/>
          </a:extLst>
        </xdr:cNvPr>
        <xdr:cNvSpPr/>
      </xdr:nvSpPr>
      <xdr:spPr>
        <a:xfrm>
          <a:off x="3735458" y="321365"/>
          <a:ext cx="2658716" cy="4389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DB319"/>
  <sheetViews>
    <sheetView view="pageBreakPreview" topLeftCell="A274" zoomScale="145" zoomScaleNormal="145" zoomScaleSheetLayoutView="145" workbookViewId="0">
      <selection activeCell="BK324" sqref="BK324"/>
    </sheetView>
  </sheetViews>
  <sheetFormatPr defaultRowHeight="12" customHeight="1"/>
  <cols>
    <col min="1" max="42" width="1.42578125" style="1" customWidth="1"/>
    <col min="43" max="60" width="1.42578125" style="13" customWidth="1"/>
    <col min="61" max="61" width="1.42578125" style="1" customWidth="1"/>
    <col min="62" max="63" width="4.42578125" style="3" customWidth="1"/>
    <col min="64" max="64" width="7.28515625" style="3" customWidth="1"/>
    <col min="65" max="69" width="3.7109375" style="3" customWidth="1"/>
    <col min="70" max="16384" width="9.140625" style="3"/>
  </cols>
  <sheetData>
    <row r="2" spans="1:62" s="5" customForma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02" t="s">
        <v>47</v>
      </c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4"/>
    </row>
    <row r="4" spans="1:62" ht="12" customHeight="1">
      <c r="D4" s="203" t="s">
        <v>48</v>
      </c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AK4" s="203" t="s">
        <v>49</v>
      </c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</row>
    <row r="5" spans="1:62" ht="12" customHeight="1">
      <c r="D5" s="204" t="s">
        <v>50</v>
      </c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AK5" s="204" t="s">
        <v>51</v>
      </c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</row>
    <row r="6" spans="1:62" ht="12" customHeight="1">
      <c r="AJ6" s="2"/>
      <c r="AK6" s="6"/>
      <c r="AL6" s="6"/>
      <c r="AM6" s="6"/>
      <c r="AN6" s="6"/>
      <c r="AO6" s="6"/>
      <c r="AP6" s="6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</row>
    <row r="7" spans="1:62" ht="12" customHeight="1"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3" t="s">
        <v>52</v>
      </c>
      <c r="O7" s="193"/>
      <c r="P7" s="193"/>
      <c r="Q7" s="193"/>
      <c r="R7" s="193"/>
      <c r="S7" s="193"/>
      <c r="T7" s="193"/>
      <c r="U7" s="193"/>
      <c r="V7" s="193"/>
      <c r="W7" s="193"/>
      <c r="X7" s="193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201" t="s">
        <v>52</v>
      </c>
      <c r="AV7" s="201"/>
      <c r="AW7" s="201"/>
      <c r="AX7" s="201"/>
      <c r="AY7" s="201"/>
      <c r="AZ7" s="201"/>
      <c r="BA7" s="201"/>
      <c r="BB7" s="201"/>
      <c r="BC7" s="201"/>
      <c r="BD7" s="201"/>
      <c r="BE7" s="201"/>
    </row>
    <row r="8" spans="1:62" ht="12" customHeight="1">
      <c r="D8" s="190" t="s">
        <v>53</v>
      </c>
      <c r="E8" s="190"/>
      <c r="F8" s="190"/>
      <c r="G8" s="190"/>
      <c r="H8" s="190"/>
      <c r="I8" s="190"/>
      <c r="J8" s="190"/>
      <c r="K8" s="190"/>
      <c r="L8" s="190"/>
      <c r="M8" s="190"/>
      <c r="N8" s="3"/>
      <c r="O8" s="3"/>
      <c r="P8" s="3"/>
      <c r="Q8" s="3"/>
      <c r="R8" s="3"/>
      <c r="S8" s="3"/>
      <c r="T8" s="3"/>
      <c r="U8" s="3"/>
      <c r="AK8" s="190" t="s">
        <v>53</v>
      </c>
      <c r="AL8" s="190"/>
      <c r="AM8" s="190"/>
      <c r="AN8" s="190"/>
      <c r="AO8" s="190"/>
      <c r="AP8" s="190"/>
      <c r="AQ8" s="190"/>
      <c r="AR8" s="190"/>
      <c r="AS8" s="190"/>
      <c r="AT8" s="190"/>
    </row>
    <row r="9" spans="1:62" ht="12" customHeight="1">
      <c r="D9" s="7" t="s">
        <v>54</v>
      </c>
      <c r="E9" s="191"/>
      <c r="F9" s="191"/>
      <c r="G9" s="1" t="s">
        <v>54</v>
      </c>
      <c r="H9" s="192"/>
      <c r="I9" s="192"/>
      <c r="J9" s="192"/>
      <c r="K9" s="192"/>
      <c r="L9" s="192"/>
      <c r="M9" s="192"/>
      <c r="O9" s="191"/>
      <c r="P9" s="191"/>
      <c r="Q9" s="191"/>
      <c r="R9" s="1" t="s">
        <v>55</v>
      </c>
      <c r="S9" s="3"/>
      <c r="AK9" s="7" t="s">
        <v>54</v>
      </c>
      <c r="AL9" s="191"/>
      <c r="AM9" s="191"/>
      <c r="AN9" s="1" t="s">
        <v>54</v>
      </c>
      <c r="AO9" s="192"/>
      <c r="AP9" s="192"/>
      <c r="AQ9" s="192"/>
      <c r="AR9" s="192"/>
      <c r="AS9" s="192"/>
      <c r="AT9" s="192"/>
      <c r="AV9" s="200"/>
      <c r="AW9" s="200"/>
      <c r="AX9" s="200"/>
      <c r="AY9" s="13" t="s">
        <v>55</v>
      </c>
      <c r="AZ9" s="14"/>
    </row>
    <row r="12" spans="1:62" ht="12" customHeight="1">
      <c r="A12" s="185" t="s">
        <v>258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93" t="s">
        <v>62</v>
      </c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J12" s="8">
        <v>235.39</v>
      </c>
    </row>
    <row r="13" spans="1:62" ht="24" customHeight="1">
      <c r="A13" s="194" t="s">
        <v>80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</row>
    <row r="15" spans="1:62" ht="12" customHeight="1">
      <c r="A15" s="185" t="s">
        <v>56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93" t="s">
        <v>29</v>
      </c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</row>
    <row r="16" spans="1:62" ht="12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"/>
      <c r="O16" s="3"/>
      <c r="P16" s="3"/>
      <c r="Q16" s="3"/>
      <c r="R16" s="3"/>
      <c r="S16" s="3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</row>
    <row r="17" spans="1:65" ht="12" customHeight="1">
      <c r="A17" s="185" t="s">
        <v>59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93" t="s">
        <v>87</v>
      </c>
      <c r="R17" s="193"/>
      <c r="S17" s="193"/>
      <c r="T17" s="193"/>
      <c r="U17" s="193"/>
      <c r="V17" s="3"/>
      <c r="W17" s="186" t="s">
        <v>88</v>
      </c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378">
        <v>307.7</v>
      </c>
      <c r="AP17" s="378"/>
      <c r="AQ17" s="378"/>
      <c r="AR17" s="378"/>
      <c r="AS17" s="378"/>
      <c r="AT17" s="185" t="s">
        <v>89</v>
      </c>
      <c r="AU17" s="185"/>
      <c r="AV17" s="185"/>
      <c r="AW17" s="185"/>
      <c r="AX17" s="185"/>
      <c r="AY17" s="185"/>
      <c r="AZ17" s="185"/>
      <c r="BA17" s="185"/>
      <c r="BB17" s="185"/>
      <c r="BC17" s="367" t="s">
        <v>90</v>
      </c>
      <c r="BD17" s="367"/>
      <c r="BE17" s="367"/>
      <c r="BF17" s="367"/>
      <c r="BG17" s="367"/>
      <c r="BH17" s="367"/>
    </row>
    <row r="18" spans="1:65" ht="12" hidden="1" customHeight="1">
      <c r="A18" s="185" t="s">
        <v>85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367" t="s">
        <v>86</v>
      </c>
      <c r="O18" s="367"/>
      <c r="P18" s="367"/>
      <c r="Q18" s="367"/>
      <c r="R18" s="367"/>
      <c r="S18" s="367"/>
      <c r="T18" s="43"/>
      <c r="U18" s="185" t="s">
        <v>92</v>
      </c>
      <c r="V18" s="185"/>
      <c r="W18" s="19" t="s">
        <v>28</v>
      </c>
      <c r="X18" s="377" t="s">
        <v>94</v>
      </c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46" t="s">
        <v>28</v>
      </c>
      <c r="AL18" s="377">
        <f>1.0067 * 1.0067 * 1.0067 * 1.0067</f>
        <v>1.0270705450671118</v>
      </c>
      <c r="AM18" s="377"/>
      <c r="AN18" s="377"/>
      <c r="AO18" s="46"/>
      <c r="AP18" s="3"/>
      <c r="AQ18" s="185" t="s">
        <v>93</v>
      </c>
      <c r="AR18" s="185"/>
      <c r="AS18" s="185"/>
      <c r="AT18" s="3" t="s">
        <v>28</v>
      </c>
      <c r="AU18" s="379">
        <f>$AO$17</f>
        <v>307.7</v>
      </c>
      <c r="AV18" s="379"/>
      <c r="AW18" s="379"/>
      <c r="AX18" s="379"/>
      <c r="AY18" s="32" t="s">
        <v>91</v>
      </c>
      <c r="AZ18" s="376">
        <f>AL18</f>
        <v>1.0270705450671118</v>
      </c>
      <c r="BA18" s="376"/>
      <c r="BB18" s="376"/>
      <c r="BC18" s="376"/>
      <c r="BD18" s="3" t="s">
        <v>28</v>
      </c>
      <c r="BE18" s="367">
        <f>AZ18*AU18</f>
        <v>316.02960671715027</v>
      </c>
      <c r="BF18" s="376"/>
      <c r="BG18" s="376"/>
      <c r="BH18" s="376"/>
    </row>
    <row r="19" spans="1:65" ht="12" hidden="1" customHeight="1">
      <c r="A19" s="186" t="s">
        <v>98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367" t="s">
        <v>96</v>
      </c>
      <c r="O19" s="367"/>
      <c r="P19" s="367"/>
      <c r="Q19" s="367"/>
      <c r="R19" s="367"/>
      <c r="S19" s="367"/>
      <c r="T19" s="186" t="s">
        <v>95</v>
      </c>
      <c r="U19" s="186"/>
      <c r="V19" s="186"/>
      <c r="W19" s="19" t="s">
        <v>28</v>
      </c>
      <c r="X19" s="388" t="s">
        <v>97</v>
      </c>
      <c r="Y19" s="388"/>
      <c r="Z19" s="388"/>
      <c r="AA19" s="388"/>
      <c r="AB19" s="388"/>
      <c r="AC19" s="388"/>
      <c r="AD19" s="388"/>
      <c r="AE19" s="388"/>
      <c r="AF19" s="388"/>
      <c r="AG19" s="388"/>
      <c r="AH19" s="388"/>
      <c r="AI19" s="388"/>
      <c r="AJ19" s="388"/>
      <c r="AK19" s="46" t="s">
        <v>28</v>
      </c>
      <c r="AL19" s="377">
        <f>1.0067 * 1.0067</f>
        <v>1.0134448899999999</v>
      </c>
      <c r="AM19" s="377"/>
      <c r="AN19" s="377"/>
      <c r="AO19" s="46"/>
      <c r="AP19" s="186" t="s">
        <v>99</v>
      </c>
      <c r="AQ19" s="186"/>
      <c r="AR19" s="186"/>
      <c r="AS19" s="186"/>
      <c r="AT19" s="3" t="s">
        <v>28</v>
      </c>
      <c r="AU19" s="379">
        <f>$AO$17</f>
        <v>307.7</v>
      </c>
      <c r="AV19" s="379"/>
      <c r="AW19" s="379"/>
      <c r="AX19" s="379"/>
      <c r="AY19" s="32" t="s">
        <v>91</v>
      </c>
      <c r="AZ19" s="376">
        <f>AL19</f>
        <v>1.0134448899999999</v>
      </c>
      <c r="BA19" s="376"/>
      <c r="BB19" s="376"/>
      <c r="BC19" s="376"/>
      <c r="BD19" s="3" t="s">
        <v>28</v>
      </c>
      <c r="BE19" s="367">
        <f>AZ19*AU19</f>
        <v>311.83699265299998</v>
      </c>
      <c r="BF19" s="376"/>
      <c r="BG19" s="376"/>
      <c r="BH19" s="376"/>
    </row>
    <row r="20" spans="1:65" ht="12" hidden="1" customHeight="1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</row>
    <row r="21" spans="1:65" ht="12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"/>
      <c r="N21" s="3"/>
      <c r="O21" s="3"/>
      <c r="P21" s="3"/>
      <c r="Q21" s="3"/>
      <c r="R21" s="3"/>
      <c r="S21" s="3"/>
      <c r="T21" s="3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1:65" ht="50.25" customHeight="1">
      <c r="A22" s="31"/>
      <c r="B22" s="371" t="s">
        <v>70</v>
      </c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2" t="s">
        <v>71</v>
      </c>
      <c r="AI22" s="372"/>
      <c r="AJ22" s="372"/>
      <c r="AK22" s="372"/>
      <c r="AL22" s="372"/>
      <c r="AM22" s="372"/>
      <c r="AN22" s="372"/>
      <c r="AO22" s="372"/>
      <c r="AP22" s="372" t="s">
        <v>76</v>
      </c>
      <c r="AQ22" s="372"/>
      <c r="AR22" s="372"/>
      <c r="AS22" s="372"/>
      <c r="AT22" s="372"/>
      <c r="AU22" s="372"/>
      <c r="AV22" s="373" t="s">
        <v>77</v>
      </c>
      <c r="AW22" s="373"/>
      <c r="AX22" s="373"/>
      <c r="AY22" s="373"/>
      <c r="AZ22" s="373"/>
      <c r="BA22" s="373"/>
      <c r="BB22" s="373"/>
      <c r="BC22" s="373"/>
      <c r="BD22" s="373"/>
      <c r="BE22" s="373"/>
      <c r="BF22" s="373"/>
      <c r="BG22" s="373"/>
      <c r="BH22" s="373"/>
    </row>
    <row r="23" spans="1:65" ht="25.5" customHeight="1">
      <c r="A23" s="31"/>
      <c r="B23" s="374" t="s">
        <v>25</v>
      </c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5"/>
      <c r="AE23" s="375"/>
      <c r="AF23" s="375"/>
      <c r="AG23" s="375"/>
      <c r="AH23" s="195" t="s">
        <v>225</v>
      </c>
      <c r="AI23" s="195"/>
      <c r="AJ23" s="195"/>
      <c r="AK23" s="195"/>
      <c r="AL23" s="195"/>
      <c r="AM23" s="195"/>
      <c r="AN23" s="195"/>
      <c r="AO23" s="195"/>
      <c r="AP23" s="196">
        <v>3130</v>
      </c>
      <c r="AQ23" s="196"/>
      <c r="AR23" s="196"/>
      <c r="AS23" s="196"/>
      <c r="AT23" s="196"/>
      <c r="AU23" s="196"/>
      <c r="AV23" s="197" t="s">
        <v>30</v>
      </c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9"/>
    </row>
    <row r="24" spans="1:65" ht="24" customHeight="1">
      <c r="A24" s="31"/>
      <c r="B24" s="187" t="s">
        <v>72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9" t="s">
        <v>225</v>
      </c>
      <c r="AI24" s="189"/>
      <c r="AJ24" s="189"/>
      <c r="AK24" s="189"/>
      <c r="AL24" s="189"/>
      <c r="AM24" s="189"/>
      <c r="AN24" s="189"/>
      <c r="AO24" s="189"/>
      <c r="AP24" s="180">
        <v>180</v>
      </c>
      <c r="AQ24" s="181"/>
      <c r="AR24" s="181"/>
      <c r="AS24" s="181"/>
      <c r="AT24" s="181"/>
      <c r="AU24" s="181"/>
      <c r="AV24" s="182" t="s">
        <v>79</v>
      </c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4"/>
    </row>
    <row r="25" spans="1:65" ht="24" customHeight="1">
      <c r="A25" s="31"/>
      <c r="B25" s="187" t="s">
        <v>259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9" t="s">
        <v>193</v>
      </c>
      <c r="AI25" s="189"/>
      <c r="AJ25" s="189"/>
      <c r="AK25" s="189"/>
      <c r="AL25" s="189"/>
      <c r="AM25" s="189"/>
      <c r="AN25" s="189"/>
      <c r="AO25" s="189"/>
      <c r="AP25" s="180">
        <v>14.32</v>
      </c>
      <c r="AQ25" s="181"/>
      <c r="AR25" s="181"/>
      <c r="AS25" s="181"/>
      <c r="AT25" s="181"/>
      <c r="AU25" s="181"/>
      <c r="AV25" s="182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4"/>
    </row>
    <row r="26" spans="1:65" ht="39" customHeight="1">
      <c r="A26" s="31"/>
      <c r="B26" s="187" t="s">
        <v>195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9" t="s">
        <v>196</v>
      </c>
      <c r="AI26" s="189"/>
      <c r="AJ26" s="189"/>
      <c r="AK26" s="189"/>
      <c r="AL26" s="189"/>
      <c r="AM26" s="189"/>
      <c r="AN26" s="189"/>
      <c r="AO26" s="189"/>
      <c r="AP26" s="180">
        <v>0.8</v>
      </c>
      <c r="AQ26" s="181"/>
      <c r="AR26" s="181"/>
      <c r="AS26" s="181"/>
      <c r="AT26" s="181"/>
      <c r="AU26" s="181"/>
      <c r="AV26" s="182" t="s">
        <v>201</v>
      </c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4"/>
    </row>
    <row r="27" spans="1:65" ht="23.25" customHeight="1">
      <c r="A27" s="31"/>
      <c r="B27" s="187" t="s">
        <v>241</v>
      </c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9" t="s">
        <v>75</v>
      </c>
      <c r="AI27" s="189"/>
      <c r="AJ27" s="189"/>
      <c r="AK27" s="189"/>
      <c r="AL27" s="189"/>
      <c r="AM27" s="189"/>
      <c r="AN27" s="189"/>
      <c r="AO27" s="189"/>
      <c r="AP27" s="180">
        <v>520</v>
      </c>
      <c r="AQ27" s="181"/>
      <c r="AR27" s="181"/>
      <c r="AS27" s="181"/>
      <c r="AT27" s="181"/>
      <c r="AU27" s="181"/>
      <c r="AV27" s="182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4"/>
    </row>
    <row r="28" spans="1:65" ht="11.25">
      <c r="A28" s="31"/>
      <c r="B28" s="364" t="s">
        <v>73</v>
      </c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365"/>
      <c r="AS28" s="365"/>
      <c r="AT28" s="365"/>
      <c r="AU28" s="365"/>
      <c r="AV28" s="365"/>
      <c r="AW28" s="365"/>
      <c r="AX28" s="365"/>
      <c r="AY28" s="365"/>
      <c r="AZ28" s="365"/>
      <c r="BA28" s="365"/>
      <c r="BB28" s="365"/>
      <c r="BC28" s="365"/>
      <c r="BD28" s="365"/>
      <c r="BE28" s="365"/>
      <c r="BF28" s="365"/>
      <c r="BG28" s="365"/>
      <c r="BH28" s="366"/>
    </row>
    <row r="29" spans="1:65" ht="36" customHeight="1">
      <c r="A29" s="31"/>
      <c r="B29" s="187" t="s">
        <v>26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9" t="s">
        <v>75</v>
      </c>
      <c r="AI29" s="189"/>
      <c r="AJ29" s="189"/>
      <c r="AK29" s="189"/>
      <c r="AL29" s="189"/>
      <c r="AM29" s="189"/>
      <c r="AN29" s="189"/>
      <c r="AO29" s="189"/>
      <c r="AP29" s="181">
        <v>107</v>
      </c>
      <c r="AQ29" s="181"/>
      <c r="AR29" s="181"/>
      <c r="AS29" s="181"/>
      <c r="AT29" s="181"/>
      <c r="AU29" s="181"/>
      <c r="AV29" s="182" t="s">
        <v>231</v>
      </c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4"/>
    </row>
    <row r="30" spans="1:65" s="13" customFormat="1" ht="24.75" customHeight="1">
      <c r="A30" s="36"/>
      <c r="B30" s="362" t="s">
        <v>233</v>
      </c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3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383" t="s">
        <v>74</v>
      </c>
      <c r="AI30" s="383"/>
      <c r="AJ30" s="383"/>
      <c r="AK30" s="383"/>
      <c r="AL30" s="383"/>
      <c r="AM30" s="383"/>
      <c r="AN30" s="383"/>
      <c r="AO30" s="383"/>
      <c r="AP30" s="384">
        <v>0.79</v>
      </c>
      <c r="AQ30" s="385"/>
      <c r="AR30" s="385"/>
      <c r="AS30" s="385"/>
      <c r="AT30" s="385"/>
      <c r="AU30" s="385"/>
      <c r="AV30" s="386"/>
      <c r="AW30" s="386"/>
      <c r="AX30" s="386"/>
      <c r="AY30" s="386"/>
      <c r="AZ30" s="386"/>
      <c r="BA30" s="386"/>
      <c r="BB30" s="386"/>
      <c r="BC30" s="386"/>
      <c r="BD30" s="386"/>
      <c r="BE30" s="386"/>
      <c r="BF30" s="386"/>
      <c r="BG30" s="386"/>
      <c r="BH30" s="387"/>
    </row>
    <row r="31" spans="1:65" s="1" customFormat="1" ht="12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>
        <v>98</v>
      </c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J31" s="3"/>
      <c r="BK31" s="3"/>
      <c r="BL31" s="3"/>
      <c r="BM31" s="3"/>
    </row>
    <row r="32" spans="1:65" ht="12" hidden="1" customHeight="1">
      <c r="A32" s="185" t="s">
        <v>57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93" t="s">
        <v>58</v>
      </c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</row>
    <row r="33" spans="1:106" ht="12" hidden="1" customHeight="1">
      <c r="A33" s="203" t="s">
        <v>60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193" t="s">
        <v>61</v>
      </c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</row>
    <row r="34" spans="1:106" ht="12" hidden="1" customHeight="1">
      <c r="AK34" s="45" t="s">
        <v>59</v>
      </c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C34" s="206" t="str">
        <f>Q17</f>
        <v>22.08.2023</v>
      </c>
      <c r="BD34" s="207"/>
      <c r="BE34" s="207"/>
      <c r="BF34" s="207"/>
      <c r="BG34" s="207"/>
      <c r="BH34" s="207"/>
    </row>
    <row r="35" spans="1:106" s="1" customFormat="1" ht="12" customHeight="1">
      <c r="A35" s="389" t="s">
        <v>32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1"/>
      <c r="X35" s="389" t="s">
        <v>27</v>
      </c>
      <c r="Y35" s="390"/>
      <c r="Z35" s="390"/>
      <c r="AA35" s="390"/>
      <c r="AB35" s="390"/>
      <c r="AC35" s="390"/>
      <c r="AD35" s="390"/>
      <c r="AE35" s="390"/>
      <c r="AF35" s="390"/>
      <c r="AG35" s="390"/>
      <c r="AH35" s="390"/>
      <c r="AI35" s="390"/>
      <c r="AJ35" s="390"/>
      <c r="AK35" s="390"/>
      <c r="AL35" s="390"/>
      <c r="AM35" s="390"/>
      <c r="AN35" s="390"/>
      <c r="AO35" s="390"/>
      <c r="AP35" s="390"/>
      <c r="AQ35" s="390"/>
      <c r="AR35" s="390"/>
      <c r="AS35" s="390"/>
      <c r="AT35" s="390"/>
      <c r="AU35" s="390"/>
      <c r="AV35" s="390"/>
      <c r="AW35" s="390"/>
      <c r="AX35" s="390"/>
      <c r="AY35" s="390"/>
      <c r="AZ35" s="390"/>
      <c r="BA35" s="390"/>
      <c r="BB35" s="391"/>
      <c r="BC35" s="368" t="s">
        <v>33</v>
      </c>
      <c r="BD35" s="369"/>
      <c r="BE35" s="369"/>
      <c r="BF35" s="369"/>
      <c r="BG35" s="369"/>
      <c r="BH35" s="370"/>
    </row>
    <row r="36" spans="1:106" s="1" customFormat="1" ht="12" customHeight="1">
      <c r="A36" s="249" t="s">
        <v>62</v>
      </c>
      <c r="B36" s="382"/>
      <c r="C36" s="380" t="s">
        <v>81</v>
      </c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0"/>
      <c r="AK36" s="380"/>
      <c r="AL36" s="380"/>
      <c r="AM36" s="380"/>
      <c r="AN36" s="380"/>
      <c r="AO36" s="380"/>
      <c r="AP36" s="380"/>
      <c r="AQ36" s="380"/>
      <c r="AR36" s="380"/>
      <c r="AS36" s="380"/>
      <c r="AT36" s="380"/>
      <c r="AU36" s="380"/>
      <c r="AV36" s="380"/>
      <c r="AW36" s="380"/>
      <c r="AX36" s="380"/>
      <c r="AY36" s="380"/>
      <c r="AZ36" s="380"/>
      <c r="BA36" s="380"/>
      <c r="BB36" s="380"/>
      <c r="BC36" s="380"/>
      <c r="BD36" s="380"/>
      <c r="BE36" s="380"/>
      <c r="BF36" s="380"/>
      <c r="BG36" s="380"/>
      <c r="BH36" s="381"/>
    </row>
    <row r="37" spans="1:106" s="90" customFormat="1" ht="12" customHeight="1">
      <c r="A37" s="239" t="str">
        <f ca="1">график!A4</f>
        <v>1.1</v>
      </c>
      <c r="B37" s="240"/>
      <c r="C37" s="205" t="str">
        <f ca="1">график!B4</f>
        <v>обеспечение проработки инвестиционного замысла и выбора оптимального решения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392" t="s">
        <v>260</v>
      </c>
      <c r="BB37" s="392"/>
      <c r="BC37" s="392"/>
      <c r="BD37" s="392"/>
      <c r="BE37" s="392"/>
      <c r="BF37" s="392"/>
      <c r="BG37" s="392"/>
      <c r="BH37" s="393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8"/>
    </row>
    <row r="38" spans="1:106" s="88" customFormat="1" ht="12" customHeight="1">
      <c r="A38" s="241" t="s">
        <v>165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3"/>
      <c r="X38" s="244" t="s">
        <v>45</v>
      </c>
      <c r="Y38" s="245"/>
      <c r="Z38" s="245"/>
      <c r="AA38" s="245"/>
      <c r="AB38" s="246">
        <f ca="1">график!C4</f>
        <v>45170</v>
      </c>
      <c r="AC38" s="246"/>
      <c r="AD38" s="246"/>
      <c r="AE38" s="246"/>
      <c r="AF38" s="246"/>
      <c r="AG38" s="93" t="s">
        <v>1</v>
      </c>
      <c r="AH38" s="247">
        <f ca="1">график!E4</f>
        <v>45200</v>
      </c>
      <c r="AI38" s="247"/>
      <c r="AJ38" s="247"/>
      <c r="AK38" s="247"/>
      <c r="AL38" s="247"/>
      <c r="AM38" s="255" t="s">
        <v>158</v>
      </c>
      <c r="AN38" s="255"/>
      <c r="AO38" s="91" t="s">
        <v>28</v>
      </c>
      <c r="AP38" s="256">
        <f ca="1">график!G4</f>
        <v>1.0170999999999999</v>
      </c>
      <c r="AQ38" s="256"/>
      <c r="AR38" s="256"/>
      <c r="AS38" s="256"/>
      <c r="AT38" s="255" t="s">
        <v>159</v>
      </c>
      <c r="AU38" s="255"/>
      <c r="AV38" s="91" t="s">
        <v>28</v>
      </c>
      <c r="AW38" s="228">
        <f ca="1">график!F4</f>
        <v>1.0170999999999999</v>
      </c>
      <c r="AX38" s="228"/>
      <c r="AY38" s="228"/>
      <c r="AZ38" s="229"/>
      <c r="BA38" s="230"/>
      <c r="BB38" s="231"/>
      <c r="BC38" s="231"/>
      <c r="BD38" s="231"/>
      <c r="BE38" s="231"/>
      <c r="BF38" s="231"/>
      <c r="BG38" s="231"/>
      <c r="BH38" s="232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119"/>
    </row>
    <row r="39" spans="1:106" s="88" customFormat="1" ht="12" customHeight="1">
      <c r="A39" s="233" t="s">
        <v>166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5"/>
      <c r="X39" s="224" t="s">
        <v>22</v>
      </c>
      <c r="Y39" s="225"/>
      <c r="Z39" s="225"/>
      <c r="AA39" s="94" t="s">
        <v>28</v>
      </c>
      <c r="AB39" s="313">
        <v>6.3</v>
      </c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258"/>
      <c r="AU39" s="258"/>
      <c r="AV39" s="98"/>
      <c r="AW39" s="226"/>
      <c r="AX39" s="226"/>
      <c r="AY39" s="226"/>
      <c r="AZ39" s="227"/>
      <c r="BA39" s="210">
        <f>AB39</f>
        <v>6.3</v>
      </c>
      <c r="BB39" s="211"/>
      <c r="BC39" s="211"/>
      <c r="BD39" s="211"/>
      <c r="BE39" s="211"/>
      <c r="BF39" s="212" t="s">
        <v>163</v>
      </c>
      <c r="BG39" s="212"/>
      <c r="BH39" s="213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119"/>
    </row>
    <row r="40" spans="1:106" s="88" customFormat="1" ht="12" customHeight="1">
      <c r="A40" s="278" t="s">
        <v>160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92"/>
      <c r="R40" s="280"/>
      <c r="S40" s="280"/>
      <c r="T40" s="145"/>
      <c r="U40" s="281"/>
      <c r="V40" s="282"/>
      <c r="W40" s="283"/>
      <c r="X40" s="224" t="s">
        <v>162</v>
      </c>
      <c r="Y40" s="225"/>
      <c r="Z40" s="225"/>
      <c r="AA40" s="94" t="s">
        <v>28</v>
      </c>
      <c r="AB40" s="226" t="str">
        <f ca="1">CONCATENATE(AB39," x ",$AO$17," x ", AP38," x [1 + 0,5 x (",AW38," - 1)]  = ")</f>
        <v xml:space="preserve">6,3 x 307,7 x 1,0171 x [1 + 0,5 x (1,0171 - 1)]  = </v>
      </c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7"/>
      <c r="BA40" s="210">
        <f ca="1">ROUND(AB39*$AO$17*AP38*(1+0.5*(AW38-1)),2)</f>
        <v>1988.52</v>
      </c>
      <c r="BB40" s="211"/>
      <c r="BC40" s="211"/>
      <c r="BD40" s="211"/>
      <c r="BE40" s="211"/>
      <c r="BF40" s="212" t="s">
        <v>23</v>
      </c>
      <c r="BG40" s="212"/>
      <c r="BH40" s="213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119"/>
    </row>
    <row r="41" spans="1:106" s="90" customFormat="1" ht="12" customHeight="1">
      <c r="A41" s="397" t="str">
        <f ca="1">график!A5</f>
        <v>1.2</v>
      </c>
      <c r="B41" s="398"/>
      <c r="C41" s="404" t="str">
        <f ca="1">график!B5</f>
        <v>разработка и согласование задания на разработку предпроектной документации</v>
      </c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4"/>
      <c r="Y41" s="404"/>
      <c r="Z41" s="404"/>
      <c r="AA41" s="404"/>
      <c r="AB41" s="404"/>
      <c r="AC41" s="404"/>
      <c r="AD41" s="404"/>
      <c r="AE41" s="404"/>
      <c r="AF41" s="404"/>
      <c r="AG41" s="404"/>
      <c r="AH41" s="404"/>
      <c r="AI41" s="404"/>
      <c r="AJ41" s="404"/>
      <c r="AK41" s="404"/>
      <c r="AL41" s="404"/>
      <c r="AM41" s="404"/>
      <c r="AN41" s="404"/>
      <c r="AO41" s="404"/>
      <c r="AP41" s="404"/>
      <c r="AQ41" s="404"/>
      <c r="AR41" s="404"/>
      <c r="AS41" s="404"/>
      <c r="AT41" s="404"/>
      <c r="AU41" s="404"/>
      <c r="AV41" s="404"/>
      <c r="AW41" s="404"/>
      <c r="AX41" s="404"/>
      <c r="AY41" s="404"/>
      <c r="AZ41" s="404"/>
      <c r="BA41" s="251" t="s">
        <v>245</v>
      </c>
      <c r="BB41" s="251"/>
      <c r="BC41" s="251"/>
      <c r="BD41" s="251"/>
      <c r="BE41" s="251"/>
      <c r="BF41" s="251"/>
      <c r="BG41" s="251"/>
      <c r="BH41" s="252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8"/>
    </row>
    <row r="42" spans="1:106" s="88" customFormat="1" ht="12" customHeight="1">
      <c r="A42" s="241" t="s">
        <v>161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3"/>
      <c r="X42" s="244" t="s">
        <v>45</v>
      </c>
      <c r="Y42" s="245"/>
      <c r="Z42" s="245"/>
      <c r="AA42" s="245"/>
      <c r="AB42" s="253">
        <f ca="1">график!C5</f>
        <v>45170</v>
      </c>
      <c r="AC42" s="246"/>
      <c r="AD42" s="246"/>
      <c r="AE42" s="246"/>
      <c r="AF42" s="246"/>
      <c r="AG42" s="93" t="s">
        <v>1</v>
      </c>
      <c r="AH42" s="254">
        <f ca="1">график!E5</f>
        <v>45170</v>
      </c>
      <c r="AI42" s="247"/>
      <c r="AJ42" s="247"/>
      <c r="AK42" s="247"/>
      <c r="AL42" s="247"/>
      <c r="AM42" s="255" t="s">
        <v>158</v>
      </c>
      <c r="AN42" s="255"/>
      <c r="AO42" s="91" t="s">
        <v>28</v>
      </c>
      <c r="AP42" s="256">
        <f ca="1">график!F5</f>
        <v>1.0170999999999999</v>
      </c>
      <c r="AQ42" s="256"/>
      <c r="AR42" s="256"/>
      <c r="AS42" s="256"/>
      <c r="AT42" s="255" t="s">
        <v>159</v>
      </c>
      <c r="AU42" s="255"/>
      <c r="AV42" s="91" t="s">
        <v>28</v>
      </c>
      <c r="AW42" s="228">
        <f ca="1">график!G5</f>
        <v>1.0085</v>
      </c>
      <c r="AX42" s="228"/>
      <c r="AY42" s="228"/>
      <c r="AZ42" s="229"/>
      <c r="BA42" s="230"/>
      <c r="BB42" s="231"/>
      <c r="BC42" s="231"/>
      <c r="BD42" s="231"/>
      <c r="BE42" s="231"/>
      <c r="BF42" s="231"/>
      <c r="BG42" s="231"/>
      <c r="BH42" s="232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119"/>
    </row>
    <row r="43" spans="1:106" s="88" customFormat="1" ht="12" customHeight="1">
      <c r="A43" s="394" t="s">
        <v>160</v>
      </c>
      <c r="B43" s="395"/>
      <c r="C43" s="395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6"/>
      <c r="X43" s="224" t="s">
        <v>22</v>
      </c>
      <c r="Y43" s="225"/>
      <c r="Z43" s="225"/>
      <c r="AA43" s="94" t="s">
        <v>28</v>
      </c>
      <c r="AB43" s="313">
        <v>1.1000000000000001</v>
      </c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258"/>
      <c r="AU43" s="258"/>
      <c r="AV43" s="98"/>
      <c r="AW43" s="226"/>
      <c r="AX43" s="226"/>
      <c r="AY43" s="226"/>
      <c r="AZ43" s="227"/>
      <c r="BA43" s="210">
        <f>AB43</f>
        <v>1.1000000000000001</v>
      </c>
      <c r="BB43" s="211"/>
      <c r="BC43" s="211"/>
      <c r="BD43" s="211"/>
      <c r="BE43" s="211"/>
      <c r="BF43" s="212" t="s">
        <v>163</v>
      </c>
      <c r="BG43" s="212"/>
      <c r="BH43" s="213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119"/>
    </row>
    <row r="44" spans="1:106" s="88" customFormat="1" ht="12" customHeight="1">
      <c r="A44" s="278" t="s">
        <v>160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92"/>
      <c r="R44" s="258"/>
      <c r="S44" s="258"/>
      <c r="T44" s="98"/>
      <c r="U44" s="399"/>
      <c r="V44" s="279"/>
      <c r="W44" s="400"/>
      <c r="X44" s="224" t="s">
        <v>162</v>
      </c>
      <c r="Y44" s="225"/>
      <c r="Z44" s="225"/>
      <c r="AA44" s="94" t="s">
        <v>28</v>
      </c>
      <c r="AB44" s="226" t="str">
        <f ca="1">CONCATENATE(AB43," x ",$AO$17," x ", AP42," x [1 + 0,5 x (",AW42," - 1)] = ")</f>
        <v xml:space="preserve">1,1 x 307,7 x 1,0171 x [1 + 0,5 x (1,0085 - 1)] = </v>
      </c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7"/>
      <c r="BA44" s="210">
        <f ca="1">ROUND(AB43*$AO$17*AP42*(1+0.5*(AW42-1)),2)</f>
        <v>345.72</v>
      </c>
      <c r="BB44" s="211"/>
      <c r="BC44" s="211"/>
      <c r="BD44" s="211"/>
      <c r="BE44" s="211"/>
      <c r="BF44" s="212" t="s">
        <v>23</v>
      </c>
      <c r="BG44" s="212"/>
      <c r="BH44" s="213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119"/>
    </row>
    <row r="45" spans="1:106" s="90" customFormat="1" ht="12" customHeight="1">
      <c r="A45" s="397" t="str">
        <f ca="1">график!A6</f>
        <v>1.3</v>
      </c>
      <c r="B45" s="398"/>
      <c r="C45" s="404" t="str">
        <f ca="1">график!B6</f>
        <v>разработка и согласование декларации о намерениях</v>
      </c>
      <c r="D45" s="404"/>
      <c r="E45" s="404"/>
      <c r="F45" s="404"/>
      <c r="G45" s="404"/>
      <c r="H45" s="404"/>
      <c r="I45" s="404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4"/>
      <c r="AC45" s="404"/>
      <c r="AD45" s="404"/>
      <c r="AE45" s="404"/>
      <c r="AF45" s="404"/>
      <c r="AG45" s="404"/>
      <c r="AH45" s="404"/>
      <c r="AI45" s="404"/>
      <c r="AJ45" s="404"/>
      <c r="AK45" s="404"/>
      <c r="AL45" s="404"/>
      <c r="AM45" s="404"/>
      <c r="AN45" s="404"/>
      <c r="AO45" s="404"/>
      <c r="AP45" s="404"/>
      <c r="AQ45" s="404"/>
      <c r="AR45" s="404"/>
      <c r="AS45" s="404"/>
      <c r="AT45" s="404"/>
      <c r="AU45" s="404"/>
      <c r="AV45" s="404"/>
      <c r="AW45" s="404"/>
      <c r="AX45" s="404"/>
      <c r="AY45" s="404"/>
      <c r="AZ45" s="404"/>
      <c r="BA45" s="251" t="s">
        <v>245</v>
      </c>
      <c r="BB45" s="251"/>
      <c r="BC45" s="251"/>
      <c r="BD45" s="251"/>
      <c r="BE45" s="251"/>
      <c r="BF45" s="251"/>
      <c r="BG45" s="251"/>
      <c r="BH45" s="252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7"/>
      <c r="CG45" s="117"/>
      <c r="CH45" s="117"/>
      <c r="CI45" s="117"/>
      <c r="CJ45" s="117"/>
      <c r="CK45" s="117"/>
      <c r="CL45" s="117"/>
      <c r="CM45" s="117"/>
      <c r="CN45" s="117"/>
      <c r="CO45" s="117"/>
      <c r="CP45" s="117"/>
      <c r="CQ45" s="117"/>
      <c r="CR45" s="117"/>
      <c r="CS45" s="117"/>
      <c r="CT45" s="117"/>
      <c r="CU45" s="117"/>
      <c r="CV45" s="117"/>
      <c r="CW45" s="117"/>
      <c r="CX45" s="117"/>
      <c r="CY45" s="117"/>
      <c r="CZ45" s="117"/>
      <c r="DA45" s="117"/>
      <c r="DB45" s="118"/>
    </row>
    <row r="46" spans="1:106" s="88" customFormat="1" ht="12" customHeight="1">
      <c r="A46" s="241" t="s">
        <v>168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3"/>
      <c r="X46" s="244" t="s">
        <v>45</v>
      </c>
      <c r="Y46" s="245"/>
      <c r="Z46" s="245"/>
      <c r="AA46" s="245"/>
      <c r="AB46" s="253">
        <f ca="1">график!C6</f>
        <v>45170</v>
      </c>
      <c r="AC46" s="246"/>
      <c r="AD46" s="246"/>
      <c r="AE46" s="246"/>
      <c r="AF46" s="246"/>
      <c r="AG46" s="93" t="s">
        <v>1</v>
      </c>
      <c r="AH46" s="254">
        <f ca="1">график!E6</f>
        <v>45200</v>
      </c>
      <c r="AI46" s="247"/>
      <c r="AJ46" s="247"/>
      <c r="AK46" s="247"/>
      <c r="AL46" s="247"/>
      <c r="AM46" s="255" t="s">
        <v>158</v>
      </c>
      <c r="AN46" s="255"/>
      <c r="AO46" s="91" t="s">
        <v>28</v>
      </c>
      <c r="AP46" s="256">
        <f ca="1">график!F6</f>
        <v>1.0170999999999999</v>
      </c>
      <c r="AQ46" s="256"/>
      <c r="AR46" s="256"/>
      <c r="AS46" s="256"/>
      <c r="AT46" s="255" t="s">
        <v>159</v>
      </c>
      <c r="AU46" s="255"/>
      <c r="AV46" s="91" t="s">
        <v>28</v>
      </c>
      <c r="AW46" s="228">
        <f ca="1">график!G6</f>
        <v>1.0170999999999999</v>
      </c>
      <c r="AX46" s="228"/>
      <c r="AY46" s="228"/>
      <c r="AZ46" s="229"/>
      <c r="BA46" s="230"/>
      <c r="BB46" s="231"/>
      <c r="BC46" s="231"/>
      <c r="BD46" s="231"/>
      <c r="BE46" s="231"/>
      <c r="BF46" s="231"/>
      <c r="BG46" s="231"/>
      <c r="BH46" s="232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119"/>
    </row>
    <row r="47" spans="1:106" s="88" customFormat="1" ht="12" customHeight="1">
      <c r="A47" s="394" t="s">
        <v>160</v>
      </c>
      <c r="B47" s="395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95"/>
      <c r="S47" s="395"/>
      <c r="T47" s="395"/>
      <c r="U47" s="395"/>
      <c r="V47" s="395"/>
      <c r="W47" s="396"/>
      <c r="X47" s="224" t="s">
        <v>22</v>
      </c>
      <c r="Y47" s="225"/>
      <c r="Z47" s="225"/>
      <c r="AA47" s="94" t="s">
        <v>28</v>
      </c>
      <c r="AB47" s="313">
        <v>4</v>
      </c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258"/>
      <c r="AU47" s="258"/>
      <c r="AV47" s="98"/>
      <c r="AW47" s="226"/>
      <c r="AX47" s="226"/>
      <c r="AY47" s="226"/>
      <c r="AZ47" s="227"/>
      <c r="BA47" s="210">
        <f>AB47</f>
        <v>4</v>
      </c>
      <c r="BB47" s="211"/>
      <c r="BC47" s="211"/>
      <c r="BD47" s="211"/>
      <c r="BE47" s="211"/>
      <c r="BF47" s="212" t="s">
        <v>163</v>
      </c>
      <c r="BG47" s="212"/>
      <c r="BH47" s="213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119"/>
    </row>
    <row r="48" spans="1:106" s="88" customFormat="1" ht="12" customHeight="1">
      <c r="A48" s="278" t="s">
        <v>160</v>
      </c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92"/>
      <c r="R48" s="258"/>
      <c r="S48" s="258"/>
      <c r="T48" s="98"/>
      <c r="U48" s="399"/>
      <c r="V48" s="279"/>
      <c r="W48" s="400"/>
      <c r="X48" s="224" t="s">
        <v>162</v>
      </c>
      <c r="Y48" s="225"/>
      <c r="Z48" s="225"/>
      <c r="AA48" s="94" t="s">
        <v>28</v>
      </c>
      <c r="AB48" s="226" t="str">
        <f ca="1">CONCATENATE(AB47," x ",$AO$17," x ", AP46," x [1 + 0,5 x (",AW46," - 1)] = ")</f>
        <v xml:space="preserve">4 x 307,7 x 1,0171 x [1 + 0,5 x (1,0171 - 1)] = </v>
      </c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  <c r="AV48" s="226"/>
      <c r="AW48" s="226"/>
      <c r="AX48" s="226"/>
      <c r="AY48" s="226"/>
      <c r="AZ48" s="227"/>
      <c r="BA48" s="210">
        <f ca="1">ROUND(AB47*$AO$17*AP46*(1+0.5*(AW46-1)),2)</f>
        <v>1262.55</v>
      </c>
      <c r="BB48" s="211"/>
      <c r="BC48" s="211"/>
      <c r="BD48" s="211"/>
      <c r="BE48" s="211"/>
      <c r="BF48" s="212" t="s">
        <v>23</v>
      </c>
      <c r="BG48" s="212"/>
      <c r="BH48" s="213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119"/>
    </row>
    <row r="49" spans="1:106" ht="12" customHeight="1">
      <c r="A49" s="103" t="s">
        <v>186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5"/>
      <c r="AL49" s="105"/>
      <c r="AM49" s="105"/>
      <c r="AN49" s="105"/>
      <c r="AO49" s="105"/>
      <c r="AP49" s="105"/>
      <c r="AQ49" s="106"/>
      <c r="AR49" s="107"/>
      <c r="AS49" s="106"/>
      <c r="AT49" s="106"/>
      <c r="AU49" s="106"/>
      <c r="AV49" s="106"/>
      <c r="AW49" s="291" t="s">
        <v>22</v>
      </c>
      <c r="AX49" s="291"/>
      <c r="AY49" s="291"/>
      <c r="AZ49" s="156" t="s">
        <v>28</v>
      </c>
      <c r="BA49" s="292">
        <f>BA47+BA43+BA39</f>
        <v>11.399999999999999</v>
      </c>
      <c r="BB49" s="292"/>
      <c r="BC49" s="292"/>
      <c r="BD49" s="292"/>
      <c r="BE49" s="292"/>
      <c r="BF49" s="157" t="s">
        <v>163</v>
      </c>
      <c r="BG49" s="157"/>
      <c r="BH49" s="158"/>
    </row>
    <row r="50" spans="1:106" s="88" customFormat="1" ht="12" customHeight="1">
      <c r="A50" s="264" t="s">
        <v>160</v>
      </c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111"/>
      <c r="Y50" s="111"/>
      <c r="Z50" s="111"/>
      <c r="AA50" s="111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5"/>
      <c r="AU50" s="115"/>
      <c r="AV50" s="116"/>
      <c r="AW50" s="266" t="s">
        <v>167</v>
      </c>
      <c r="AX50" s="266"/>
      <c r="AY50" s="266"/>
      <c r="AZ50" s="112" t="s">
        <v>28</v>
      </c>
      <c r="BA50" s="260">
        <f ca="1">BA48+BA44+BA40</f>
        <v>3596.79</v>
      </c>
      <c r="BB50" s="260"/>
      <c r="BC50" s="260"/>
      <c r="BD50" s="260"/>
      <c r="BE50" s="260"/>
      <c r="BF50" s="261" t="s">
        <v>23</v>
      </c>
      <c r="BG50" s="261"/>
      <c r="BH50" s="262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119"/>
    </row>
    <row r="51" spans="1:106" s="1" customFormat="1" ht="13.5" customHeight="1">
      <c r="A51" s="249" t="s">
        <v>3</v>
      </c>
      <c r="B51" s="382"/>
      <c r="C51" s="236" t="str">
        <f ca="1">график!B7</f>
        <v>УСЛУГИ ПО РАЗРАБОТКЕ ПРЕДПРОЕКТНОЙ ДОКУМЕНТАЦИИ</v>
      </c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37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8"/>
      <c r="BI51" s="87"/>
    </row>
    <row r="52" spans="1:106" s="90" customFormat="1" ht="12" customHeight="1">
      <c r="A52" s="239" t="str">
        <f ca="1">график!A8</f>
        <v>2.1</v>
      </c>
      <c r="B52" s="240"/>
      <c r="C52" s="205" t="str">
        <f ca="1">график!B8</f>
        <v>разработка и согласование обоснования инвестиций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51" t="s">
        <v>246</v>
      </c>
      <c r="BB52" s="251"/>
      <c r="BC52" s="251"/>
      <c r="BD52" s="251"/>
      <c r="BE52" s="251"/>
      <c r="BF52" s="251"/>
      <c r="BG52" s="251"/>
      <c r="BH52" s="252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8"/>
    </row>
    <row r="53" spans="1:106" s="88" customFormat="1" ht="12" customHeight="1">
      <c r="A53" s="241" t="s">
        <v>169</v>
      </c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3"/>
      <c r="X53" s="244" t="s">
        <v>45</v>
      </c>
      <c r="Y53" s="245"/>
      <c r="Z53" s="245"/>
      <c r="AA53" s="245"/>
      <c r="AB53" s="246">
        <f ca="1">график!C8</f>
        <v>45170</v>
      </c>
      <c r="AC53" s="246"/>
      <c r="AD53" s="246"/>
      <c r="AE53" s="246"/>
      <c r="AF53" s="246"/>
      <c r="AG53" s="93" t="s">
        <v>1</v>
      </c>
      <c r="AH53" s="247">
        <f ca="1">график!E8</f>
        <v>45200</v>
      </c>
      <c r="AI53" s="247"/>
      <c r="AJ53" s="247"/>
      <c r="AK53" s="247"/>
      <c r="AL53" s="247"/>
      <c r="AM53" s="255" t="s">
        <v>158</v>
      </c>
      <c r="AN53" s="255"/>
      <c r="AO53" s="91" t="s">
        <v>28</v>
      </c>
      <c r="AP53" s="256">
        <f ca="1">график!F8</f>
        <v>1.0170999999999999</v>
      </c>
      <c r="AQ53" s="256"/>
      <c r="AR53" s="256"/>
      <c r="AS53" s="256"/>
      <c r="AT53" s="255" t="s">
        <v>159</v>
      </c>
      <c r="AU53" s="255"/>
      <c r="AV53" s="91" t="s">
        <v>28</v>
      </c>
      <c r="AW53" s="228">
        <f ca="1">график!G8</f>
        <v>1.0170999999999999</v>
      </c>
      <c r="AX53" s="228"/>
      <c r="AY53" s="228"/>
      <c r="AZ53" s="229"/>
      <c r="BA53" s="401"/>
      <c r="BB53" s="402"/>
      <c r="BC53" s="402"/>
      <c r="BD53" s="402"/>
      <c r="BE53" s="402"/>
      <c r="BF53" s="402"/>
      <c r="BG53" s="402"/>
      <c r="BH53" s="403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119"/>
    </row>
    <row r="54" spans="1:106" s="88" customFormat="1" ht="12" customHeight="1">
      <c r="A54" s="273" t="s">
        <v>179</v>
      </c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5"/>
      <c r="X54" s="208" t="s">
        <v>39</v>
      </c>
      <c r="Y54" s="209"/>
      <c r="Z54" s="209"/>
      <c r="AA54" s="44" t="s">
        <v>28</v>
      </c>
      <c r="AB54" s="258">
        <v>1000</v>
      </c>
      <c r="AC54" s="258"/>
      <c r="AD54" s="258"/>
      <c r="AE54" s="258"/>
      <c r="AF54" s="248" t="s">
        <v>40</v>
      </c>
      <c r="AG54" s="209"/>
      <c r="AH54" s="209"/>
      <c r="AI54" s="209"/>
      <c r="AJ54" s="209"/>
      <c r="AK54" s="44" t="s">
        <v>28</v>
      </c>
      <c r="AL54" s="289">
        <v>9.8000000000000007</v>
      </c>
      <c r="AM54" s="290"/>
      <c r="AN54" s="290"/>
      <c r="AO54" s="290"/>
      <c r="AP54" s="290"/>
      <c r="AQ54" s="108"/>
      <c r="AR54" s="108"/>
      <c r="AS54" s="108"/>
      <c r="AT54" s="108"/>
      <c r="AU54" s="108"/>
      <c r="AV54" s="108"/>
      <c r="AW54" s="108"/>
      <c r="AX54" s="108"/>
      <c r="AY54" s="108"/>
      <c r="AZ54" s="135"/>
      <c r="BA54" s="210"/>
      <c r="BB54" s="211"/>
      <c r="BC54" s="211"/>
      <c r="BD54" s="211"/>
      <c r="BE54" s="211"/>
      <c r="BF54" s="212"/>
      <c r="BG54" s="212"/>
      <c r="BH54" s="213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119"/>
    </row>
    <row r="55" spans="1:106" s="88" customFormat="1" ht="12" customHeight="1">
      <c r="A55" s="273"/>
      <c r="B55" s="274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5"/>
      <c r="X55" s="208" t="s">
        <v>43</v>
      </c>
      <c r="Y55" s="209"/>
      <c r="Z55" s="209"/>
      <c r="AA55" s="44" t="s">
        <v>28</v>
      </c>
      <c r="AB55" s="258">
        <v>5000</v>
      </c>
      <c r="AC55" s="258"/>
      <c r="AD55" s="258"/>
      <c r="AE55" s="258"/>
      <c r="AF55" s="248" t="s">
        <v>44</v>
      </c>
      <c r="AG55" s="209"/>
      <c r="AH55" s="209"/>
      <c r="AI55" s="209"/>
      <c r="AJ55" s="209"/>
      <c r="AK55" s="44" t="s">
        <v>28</v>
      </c>
      <c r="AL55" s="289">
        <v>12.8</v>
      </c>
      <c r="AM55" s="290"/>
      <c r="AN55" s="290"/>
      <c r="AO55" s="290"/>
      <c r="AP55" s="290"/>
      <c r="AQ55" s="108"/>
      <c r="AR55" s="108"/>
      <c r="AS55" s="108"/>
      <c r="AT55" s="108"/>
      <c r="AU55" s="108"/>
      <c r="AV55" s="108"/>
      <c r="AW55" s="108"/>
      <c r="AX55" s="108"/>
      <c r="AY55" s="108"/>
      <c r="AZ55" s="135"/>
      <c r="BA55" s="210"/>
      <c r="BB55" s="211"/>
      <c r="BC55" s="211"/>
      <c r="BD55" s="211"/>
      <c r="BE55" s="211"/>
      <c r="BF55" s="212"/>
      <c r="BG55" s="212"/>
      <c r="BH55" s="213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119"/>
    </row>
    <row r="56" spans="1:106" s="88" customFormat="1" ht="12" customHeight="1">
      <c r="A56" s="273"/>
      <c r="B56" s="274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4"/>
      <c r="W56" s="275"/>
      <c r="X56" s="224" t="s">
        <v>22</v>
      </c>
      <c r="Y56" s="225"/>
      <c r="Z56" s="225"/>
      <c r="AA56" s="94" t="s">
        <v>28</v>
      </c>
      <c r="AB56" s="226" t="str">
        <f>CONCATENATE(AL54," + [ (",AL55," - ", AL54,") / (",AB55," - ", AB54,") ] x  (",D57," - ",AB54,") = ")</f>
        <v xml:space="preserve">9,8 + [ (12,8 - 9,8) / (5000 - 1000) ] x  (3310 - 1000) = </v>
      </c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7"/>
      <c r="BA56" s="210">
        <f>ROUND(AL54 + ((AL55-AL54) / (AB55-AB54)) * (D57-AB54),2)</f>
        <v>11.53</v>
      </c>
      <c r="BB56" s="211"/>
      <c r="BC56" s="211"/>
      <c r="BD56" s="211"/>
      <c r="BE56" s="211"/>
      <c r="BF56" s="212" t="s">
        <v>163</v>
      </c>
      <c r="BG56" s="212"/>
      <c r="BH56" s="213"/>
      <c r="BI56" s="87"/>
      <c r="BJ56" s="144" t="s">
        <v>171</v>
      </c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119"/>
    </row>
    <row r="57" spans="1:106" s="88" customFormat="1" ht="12" customHeight="1">
      <c r="A57" s="214" t="s">
        <v>170</v>
      </c>
      <c r="B57" s="215"/>
      <c r="C57" s="113" t="s">
        <v>28</v>
      </c>
      <c r="D57" s="216">
        <f>AP23+AP24</f>
        <v>3310</v>
      </c>
      <c r="E57" s="216"/>
      <c r="F57" s="216"/>
      <c r="G57" s="216"/>
      <c r="H57" s="216"/>
      <c r="I57" s="218" t="s">
        <v>237</v>
      </c>
      <c r="J57" s="218"/>
      <c r="K57" s="218"/>
      <c r="L57" s="218"/>
      <c r="M57" s="218"/>
      <c r="N57" s="218"/>
      <c r="O57" s="120"/>
      <c r="P57" s="120"/>
      <c r="Q57" s="120"/>
      <c r="R57" s="215"/>
      <c r="S57" s="215"/>
      <c r="T57" s="113"/>
      <c r="U57" s="217"/>
      <c r="V57" s="218"/>
      <c r="W57" s="219"/>
      <c r="X57" s="220" t="s">
        <v>162</v>
      </c>
      <c r="Y57" s="221"/>
      <c r="Z57" s="221"/>
      <c r="AA57" s="97" t="s">
        <v>28</v>
      </c>
      <c r="AB57" s="222" t="str">
        <f ca="1">CONCATENATE(BA56," x ",$AO$17," x ", AP53," x [1 + 0,5 x (",AW53," - 1)]  = ")</f>
        <v xml:space="preserve">11,53 x 307,7 x 1,0171 x [1 + 0,5 x (1,0171 - 1)]  = </v>
      </c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3"/>
      <c r="BA57" s="268">
        <f ca="1">ROUND(BA56*$AO$17*AP53*(1+0.5*(AW53-1)),2)</f>
        <v>3639.3</v>
      </c>
      <c r="BB57" s="269"/>
      <c r="BC57" s="269"/>
      <c r="BD57" s="269"/>
      <c r="BE57" s="269"/>
      <c r="BF57" s="270" t="s">
        <v>23</v>
      </c>
      <c r="BG57" s="270"/>
      <c r="BH57" s="271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119"/>
    </row>
    <row r="58" spans="1:106" s="90" customFormat="1" ht="12" customHeight="1">
      <c r="A58" s="239" t="str">
        <f ca="1">график!A9</f>
        <v>2.2</v>
      </c>
      <c r="B58" s="240"/>
      <c r="C58" s="205" t="str">
        <f ca="1">график!B9</f>
        <v>разработка и согласование плана управления проектом</v>
      </c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51" t="s">
        <v>246</v>
      </c>
      <c r="BB58" s="251"/>
      <c r="BC58" s="251"/>
      <c r="BD58" s="251"/>
      <c r="BE58" s="251"/>
      <c r="BF58" s="251"/>
      <c r="BG58" s="251"/>
      <c r="BH58" s="252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8"/>
    </row>
    <row r="59" spans="1:106" s="88" customFormat="1" ht="12" customHeight="1">
      <c r="A59" s="241" t="s">
        <v>172</v>
      </c>
      <c r="B59" s="242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3"/>
      <c r="X59" s="244" t="s">
        <v>45</v>
      </c>
      <c r="Y59" s="245"/>
      <c r="Z59" s="245"/>
      <c r="AA59" s="245"/>
      <c r="AB59" s="246">
        <f ca="1">график!C9</f>
        <v>45231</v>
      </c>
      <c r="AC59" s="246"/>
      <c r="AD59" s="246"/>
      <c r="AE59" s="246"/>
      <c r="AF59" s="246"/>
      <c r="AG59" s="93" t="s">
        <v>1</v>
      </c>
      <c r="AH59" s="247">
        <f ca="1">график!E9</f>
        <v>45231</v>
      </c>
      <c r="AI59" s="247"/>
      <c r="AJ59" s="247"/>
      <c r="AK59" s="247"/>
      <c r="AL59" s="247"/>
      <c r="AM59" s="255" t="s">
        <v>158</v>
      </c>
      <c r="AN59" s="255"/>
      <c r="AO59" s="91" t="s">
        <v>28</v>
      </c>
      <c r="AP59" s="256">
        <f ca="1">график!F9</f>
        <v>1.0344</v>
      </c>
      <c r="AQ59" s="256"/>
      <c r="AR59" s="256"/>
      <c r="AS59" s="256"/>
      <c r="AT59" s="255" t="s">
        <v>159</v>
      </c>
      <c r="AU59" s="255"/>
      <c r="AV59" s="91" t="s">
        <v>28</v>
      </c>
      <c r="AW59" s="228">
        <f ca="1">график!G9</f>
        <v>1.0085</v>
      </c>
      <c r="AX59" s="228"/>
      <c r="AY59" s="228"/>
      <c r="AZ59" s="229"/>
      <c r="BA59" s="401"/>
      <c r="BB59" s="402"/>
      <c r="BC59" s="402"/>
      <c r="BD59" s="402"/>
      <c r="BE59" s="402"/>
      <c r="BF59" s="402"/>
      <c r="BG59" s="402"/>
      <c r="BH59" s="403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119"/>
    </row>
    <row r="60" spans="1:106" s="88" customFormat="1" ht="12" customHeight="1">
      <c r="A60" s="273" t="s">
        <v>179</v>
      </c>
      <c r="B60" s="274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5"/>
      <c r="X60" s="208" t="s">
        <v>39</v>
      </c>
      <c r="Y60" s="209"/>
      <c r="Z60" s="209"/>
      <c r="AA60" s="44" t="s">
        <v>28</v>
      </c>
      <c r="AB60" s="258">
        <v>1000</v>
      </c>
      <c r="AC60" s="258"/>
      <c r="AD60" s="258"/>
      <c r="AE60" s="258"/>
      <c r="AF60" s="248" t="s">
        <v>40</v>
      </c>
      <c r="AG60" s="209"/>
      <c r="AH60" s="209"/>
      <c r="AI60" s="209"/>
      <c r="AJ60" s="209"/>
      <c r="AK60" s="44" t="s">
        <v>28</v>
      </c>
      <c r="AL60" s="289">
        <v>9.8000000000000007</v>
      </c>
      <c r="AM60" s="290"/>
      <c r="AN60" s="290"/>
      <c r="AO60" s="290"/>
      <c r="AP60" s="290"/>
      <c r="AQ60" s="258"/>
      <c r="AR60" s="258"/>
      <c r="AS60" s="272" t="s">
        <v>173</v>
      </c>
      <c r="AT60" s="272"/>
      <c r="AU60" s="272"/>
      <c r="AV60" s="98" t="s">
        <v>28</v>
      </c>
      <c r="AW60" s="263">
        <v>0.2</v>
      </c>
      <c r="AX60" s="226"/>
      <c r="AY60" s="226"/>
      <c r="AZ60" s="227"/>
      <c r="BA60" s="210"/>
      <c r="BB60" s="211"/>
      <c r="BC60" s="211"/>
      <c r="BD60" s="211"/>
      <c r="BE60" s="211"/>
      <c r="BF60" s="212"/>
      <c r="BG60" s="212"/>
      <c r="BH60" s="213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119"/>
    </row>
    <row r="61" spans="1:106" s="88" customFormat="1" ht="12" customHeight="1">
      <c r="A61" s="273"/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5"/>
      <c r="X61" s="208" t="s">
        <v>43</v>
      </c>
      <c r="Y61" s="209"/>
      <c r="Z61" s="209"/>
      <c r="AA61" s="44" t="s">
        <v>28</v>
      </c>
      <c r="AB61" s="258">
        <v>5000</v>
      </c>
      <c r="AC61" s="258"/>
      <c r="AD61" s="258"/>
      <c r="AE61" s="258"/>
      <c r="AF61" s="248" t="s">
        <v>44</v>
      </c>
      <c r="AG61" s="209"/>
      <c r="AH61" s="209"/>
      <c r="AI61" s="209"/>
      <c r="AJ61" s="209"/>
      <c r="AK61" s="44" t="s">
        <v>28</v>
      </c>
      <c r="AL61" s="289">
        <v>12.8</v>
      </c>
      <c r="AM61" s="290"/>
      <c r="AN61" s="290"/>
      <c r="AO61" s="290"/>
      <c r="AP61" s="290"/>
      <c r="AQ61" s="108"/>
      <c r="AR61" s="108"/>
      <c r="AS61" s="108"/>
      <c r="AT61" s="108"/>
      <c r="AU61" s="108"/>
      <c r="AV61" s="108"/>
      <c r="AW61" s="108"/>
      <c r="AX61" s="108"/>
      <c r="AY61" s="108"/>
      <c r="AZ61" s="135"/>
      <c r="BA61" s="210"/>
      <c r="BB61" s="211"/>
      <c r="BC61" s="211"/>
      <c r="BD61" s="211"/>
      <c r="BE61" s="211"/>
      <c r="BF61" s="212"/>
      <c r="BG61" s="212"/>
      <c r="BH61" s="213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119"/>
    </row>
    <row r="62" spans="1:106" s="88" customFormat="1" ht="12" customHeight="1">
      <c r="A62" s="273"/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5"/>
      <c r="X62" s="224" t="s">
        <v>22</v>
      </c>
      <c r="Y62" s="225"/>
      <c r="Z62" s="225"/>
      <c r="AA62" s="94" t="s">
        <v>28</v>
      </c>
      <c r="AB62" s="226" t="str">
        <f>CONCATENATE(AL60," + [(",AL61," - ", AL60,") / (",AB61," - ", AB60,")] x (",D63," - ",AB60,") x ",AW60," = ")</f>
        <v xml:space="preserve">9,8 + [(12,8 - 9,8) / (5000 - 1000)] x (3310 - 1000) x 0,2 = </v>
      </c>
      <c r="AC62" s="226"/>
      <c r="AD62" s="22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226"/>
      <c r="AU62" s="226"/>
      <c r="AV62" s="226"/>
      <c r="AW62" s="226"/>
      <c r="AX62" s="226"/>
      <c r="AY62" s="226"/>
      <c r="AZ62" s="227"/>
      <c r="BA62" s="210">
        <f>ROUND((AL60 + ((AL61-AL60) / (AB61-AB60)) * (D63-AB60))*AW60,2)</f>
        <v>2.31</v>
      </c>
      <c r="BB62" s="211"/>
      <c r="BC62" s="211"/>
      <c r="BD62" s="211"/>
      <c r="BE62" s="211"/>
      <c r="BF62" s="212" t="s">
        <v>163</v>
      </c>
      <c r="BG62" s="212"/>
      <c r="BH62" s="213"/>
      <c r="BI62" s="87"/>
      <c r="BJ62" s="144" t="s">
        <v>176</v>
      </c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119"/>
    </row>
    <row r="63" spans="1:106" s="88" customFormat="1" ht="12" customHeight="1">
      <c r="A63" s="214" t="s">
        <v>170</v>
      </c>
      <c r="B63" s="215"/>
      <c r="C63" s="113" t="s">
        <v>28</v>
      </c>
      <c r="D63" s="216">
        <f>D57</f>
        <v>3310</v>
      </c>
      <c r="E63" s="216"/>
      <c r="F63" s="216"/>
      <c r="G63" s="216"/>
      <c r="H63" s="216"/>
      <c r="I63" s="218" t="s">
        <v>237</v>
      </c>
      <c r="J63" s="218"/>
      <c r="K63" s="218"/>
      <c r="L63" s="218"/>
      <c r="M63" s="218"/>
      <c r="N63" s="218"/>
      <c r="O63" s="120"/>
      <c r="P63" s="120"/>
      <c r="Q63" s="120"/>
      <c r="R63" s="215"/>
      <c r="S63" s="215"/>
      <c r="T63" s="113"/>
      <c r="U63" s="217"/>
      <c r="V63" s="218"/>
      <c r="W63" s="219"/>
      <c r="X63" s="220" t="s">
        <v>162</v>
      </c>
      <c r="Y63" s="221"/>
      <c r="Z63" s="221"/>
      <c r="AA63" s="97" t="s">
        <v>28</v>
      </c>
      <c r="AB63" s="222" t="str">
        <f ca="1">CONCATENATE(BA62," x ",$AO$17," x ", AP59," x [1 + 0,5 x (",AW59," - 1)]  = ")</f>
        <v xml:space="preserve">2,31 x 307,7 x 1,0344 x [1 + 0,5 x (1,0085 - 1)]  = </v>
      </c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3"/>
      <c r="BA63" s="268">
        <f ca="1">ROUND(BA62*$AO$17*AP59*(1+0.5*(AW59-1)),2)</f>
        <v>738.36</v>
      </c>
      <c r="BB63" s="269"/>
      <c r="BC63" s="269"/>
      <c r="BD63" s="269"/>
      <c r="BE63" s="269"/>
      <c r="BF63" s="270" t="s">
        <v>23</v>
      </c>
      <c r="BG63" s="270"/>
      <c r="BH63" s="271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119"/>
    </row>
    <row r="64" spans="1:106" s="90" customFormat="1" ht="12" customHeight="1">
      <c r="A64" s="405" t="str">
        <f ca="1">график!A10</f>
        <v>2.3</v>
      </c>
      <c r="B64" s="406"/>
      <c r="C64" s="205" t="str">
        <f ca="1">график!B10</f>
        <v>разработка и согласование бизнес-плана инвестиционного проекта</v>
      </c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205"/>
      <c r="AK64" s="205"/>
      <c r="AL64" s="205"/>
      <c r="AM64" s="205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51" t="s">
        <v>246</v>
      </c>
      <c r="BB64" s="251"/>
      <c r="BC64" s="251"/>
      <c r="BD64" s="251"/>
      <c r="BE64" s="251"/>
      <c r="BF64" s="251"/>
      <c r="BG64" s="251"/>
      <c r="BH64" s="252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8"/>
    </row>
    <row r="65" spans="1:106" s="88" customFormat="1" ht="12" customHeight="1">
      <c r="A65" s="241" t="s">
        <v>174</v>
      </c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3"/>
      <c r="X65" s="244" t="s">
        <v>45</v>
      </c>
      <c r="Y65" s="245"/>
      <c r="Z65" s="245"/>
      <c r="AA65" s="245"/>
      <c r="AB65" s="253">
        <f ca="1">график!C10</f>
        <v>45200</v>
      </c>
      <c r="AC65" s="246"/>
      <c r="AD65" s="246"/>
      <c r="AE65" s="246"/>
      <c r="AF65" s="246"/>
      <c r="AG65" s="93" t="s">
        <v>1</v>
      </c>
      <c r="AH65" s="254">
        <f ca="1">график!E10</f>
        <v>45231</v>
      </c>
      <c r="AI65" s="247"/>
      <c r="AJ65" s="247"/>
      <c r="AK65" s="247"/>
      <c r="AL65" s="247"/>
      <c r="AM65" s="255" t="s">
        <v>158</v>
      </c>
      <c r="AN65" s="255"/>
      <c r="AO65" s="91" t="s">
        <v>28</v>
      </c>
      <c r="AP65" s="256">
        <f ca="1">график!F10</f>
        <v>1.0257000000000001</v>
      </c>
      <c r="AQ65" s="256"/>
      <c r="AR65" s="256"/>
      <c r="AS65" s="256"/>
      <c r="AT65" s="255" t="s">
        <v>159</v>
      </c>
      <c r="AU65" s="255"/>
      <c r="AV65" s="91" t="s">
        <v>28</v>
      </c>
      <c r="AW65" s="228">
        <f ca="1">график!G10</f>
        <v>1.0170999999999999</v>
      </c>
      <c r="AX65" s="228"/>
      <c r="AY65" s="228"/>
      <c r="AZ65" s="229"/>
      <c r="BA65" s="401"/>
      <c r="BB65" s="402"/>
      <c r="BC65" s="402"/>
      <c r="BD65" s="402"/>
      <c r="BE65" s="402"/>
      <c r="BF65" s="402"/>
      <c r="BG65" s="402"/>
      <c r="BH65" s="403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7"/>
      <c r="CO65" s="87"/>
      <c r="CP65" s="87"/>
      <c r="CQ65" s="87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119"/>
    </row>
    <row r="66" spans="1:106" s="88" customFormat="1" ht="12" customHeight="1">
      <c r="A66" s="273" t="s">
        <v>179</v>
      </c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5"/>
      <c r="X66" s="208" t="s">
        <v>39</v>
      </c>
      <c r="Y66" s="209"/>
      <c r="Z66" s="209"/>
      <c r="AA66" s="44" t="s">
        <v>28</v>
      </c>
      <c r="AB66" s="258">
        <v>1000</v>
      </c>
      <c r="AC66" s="258"/>
      <c r="AD66" s="258"/>
      <c r="AE66" s="258"/>
      <c r="AF66" s="248" t="s">
        <v>40</v>
      </c>
      <c r="AG66" s="209"/>
      <c r="AH66" s="209"/>
      <c r="AI66" s="209"/>
      <c r="AJ66" s="209"/>
      <c r="AK66" s="44" t="s">
        <v>28</v>
      </c>
      <c r="AL66" s="289">
        <v>9.8000000000000007</v>
      </c>
      <c r="AM66" s="290"/>
      <c r="AN66" s="290"/>
      <c r="AO66" s="290"/>
      <c r="AP66" s="290"/>
      <c r="AQ66" s="258"/>
      <c r="AR66" s="258"/>
      <c r="AS66" s="272" t="s">
        <v>173</v>
      </c>
      <c r="AT66" s="272"/>
      <c r="AU66" s="272"/>
      <c r="AV66" s="98" t="s">
        <v>28</v>
      </c>
      <c r="AW66" s="263">
        <v>0.65</v>
      </c>
      <c r="AX66" s="226"/>
      <c r="AY66" s="226"/>
      <c r="AZ66" s="227"/>
      <c r="BA66" s="210"/>
      <c r="BB66" s="211"/>
      <c r="BC66" s="211"/>
      <c r="BD66" s="211"/>
      <c r="BE66" s="211"/>
      <c r="BF66" s="212"/>
      <c r="BG66" s="212"/>
      <c r="BH66" s="213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119"/>
    </row>
    <row r="67" spans="1:106" s="88" customFormat="1" ht="12" customHeight="1">
      <c r="A67" s="273"/>
      <c r="B67" s="274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275"/>
      <c r="X67" s="208" t="s">
        <v>43</v>
      </c>
      <c r="Y67" s="209"/>
      <c r="Z67" s="209"/>
      <c r="AA67" s="44" t="s">
        <v>28</v>
      </c>
      <c r="AB67" s="258">
        <v>5000</v>
      </c>
      <c r="AC67" s="258"/>
      <c r="AD67" s="258"/>
      <c r="AE67" s="258"/>
      <c r="AF67" s="248" t="s">
        <v>44</v>
      </c>
      <c r="AG67" s="209"/>
      <c r="AH67" s="209"/>
      <c r="AI67" s="209"/>
      <c r="AJ67" s="209"/>
      <c r="AK67" s="44" t="s">
        <v>28</v>
      </c>
      <c r="AL67" s="289">
        <v>12.8</v>
      </c>
      <c r="AM67" s="290"/>
      <c r="AN67" s="290"/>
      <c r="AO67" s="290"/>
      <c r="AP67" s="290"/>
      <c r="AQ67" s="108"/>
      <c r="AR67" s="108"/>
      <c r="AS67" s="108"/>
      <c r="AT67" s="108"/>
      <c r="AU67" s="108"/>
      <c r="AV67" s="108"/>
      <c r="AW67" s="108"/>
      <c r="AX67" s="108"/>
      <c r="AY67" s="108"/>
      <c r="AZ67" s="135"/>
      <c r="BA67" s="210"/>
      <c r="BB67" s="211"/>
      <c r="BC67" s="211"/>
      <c r="BD67" s="211"/>
      <c r="BE67" s="211"/>
      <c r="BF67" s="212"/>
      <c r="BG67" s="212"/>
      <c r="BH67" s="213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119"/>
    </row>
    <row r="68" spans="1:106" s="88" customFormat="1" ht="12" customHeight="1">
      <c r="A68" s="273"/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5"/>
      <c r="X68" s="224" t="s">
        <v>22</v>
      </c>
      <c r="Y68" s="225"/>
      <c r="Z68" s="225"/>
      <c r="AA68" s="94" t="s">
        <v>28</v>
      </c>
      <c r="AB68" s="226" t="str">
        <f>CONCATENATE(AL66," + [(",AL67," - ", AL66,") / (",AB67," - ", AB66,")] x (",D69," - ",AB66,") x ",AW66," = ")</f>
        <v xml:space="preserve">9,8 + [(12,8 - 9,8) / (5000 - 1000)] x (3310 - 1000) x 0,65 = </v>
      </c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26"/>
      <c r="AQ68" s="226"/>
      <c r="AR68" s="226"/>
      <c r="AS68" s="226"/>
      <c r="AT68" s="226"/>
      <c r="AU68" s="226"/>
      <c r="AV68" s="226"/>
      <c r="AW68" s="226"/>
      <c r="AX68" s="226"/>
      <c r="AY68" s="226"/>
      <c r="AZ68" s="227"/>
      <c r="BA68" s="210">
        <f>ROUND((AL66 + ((AL67-AL66) / (AB67-AB66)) * (D69-AB66))*AW66,2)</f>
        <v>7.5</v>
      </c>
      <c r="BB68" s="211"/>
      <c r="BC68" s="211"/>
      <c r="BD68" s="211"/>
      <c r="BE68" s="211"/>
      <c r="BF68" s="212" t="s">
        <v>163</v>
      </c>
      <c r="BG68" s="212"/>
      <c r="BH68" s="213"/>
      <c r="BI68" s="87"/>
      <c r="BJ68" s="144" t="s">
        <v>176</v>
      </c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7"/>
      <c r="CA68" s="87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7"/>
      <c r="CO68" s="87"/>
      <c r="CP68" s="87"/>
      <c r="CQ68" s="87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119"/>
    </row>
    <row r="69" spans="1:106" s="88" customFormat="1" ht="12" customHeight="1">
      <c r="A69" s="214" t="s">
        <v>170</v>
      </c>
      <c r="B69" s="215"/>
      <c r="C69" s="113" t="s">
        <v>28</v>
      </c>
      <c r="D69" s="216">
        <f>D57</f>
        <v>3310</v>
      </c>
      <c r="E69" s="216"/>
      <c r="F69" s="216"/>
      <c r="G69" s="216"/>
      <c r="H69" s="216"/>
      <c r="I69" s="218" t="s">
        <v>237</v>
      </c>
      <c r="J69" s="218"/>
      <c r="K69" s="218"/>
      <c r="L69" s="218"/>
      <c r="M69" s="218"/>
      <c r="N69" s="218"/>
      <c r="O69" s="120"/>
      <c r="P69" s="120"/>
      <c r="Q69" s="120"/>
      <c r="R69" s="215"/>
      <c r="S69" s="215"/>
      <c r="T69" s="113"/>
      <c r="U69" s="217"/>
      <c r="V69" s="218"/>
      <c r="W69" s="219"/>
      <c r="X69" s="220" t="s">
        <v>162</v>
      </c>
      <c r="Y69" s="221"/>
      <c r="Z69" s="221"/>
      <c r="AA69" s="97" t="s">
        <v>28</v>
      </c>
      <c r="AB69" s="222" t="str">
        <f ca="1">CONCATENATE(BA68," x ",$AO$17," x ", AP65," x [1 + 0,5 x (",AW65," - 1)]  = ")</f>
        <v xml:space="preserve">7,5 x 307,7 x 1,0257 x [1 + 0,5 x (1,0171 - 1)]  = </v>
      </c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3"/>
      <c r="BA69" s="268">
        <f ca="1">ROUND(BA68*$AO$17*AP65*(1+0.5*(AW65-1)),2)</f>
        <v>2387.3000000000002</v>
      </c>
      <c r="BB69" s="269"/>
      <c r="BC69" s="269"/>
      <c r="BD69" s="269"/>
      <c r="BE69" s="269"/>
      <c r="BF69" s="270" t="s">
        <v>23</v>
      </c>
      <c r="BG69" s="270"/>
      <c r="BH69" s="271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119"/>
    </row>
    <row r="70" spans="1:106" s="90" customFormat="1" ht="12" customHeight="1">
      <c r="A70" s="405" t="str">
        <f ca="1">график!A11</f>
        <v>2.4</v>
      </c>
      <c r="B70" s="406"/>
      <c r="C70" s="205" t="str">
        <f ca="1">график!B11</f>
        <v>разработка и согласование задания на проектирование</v>
      </c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205"/>
      <c r="V70" s="205"/>
      <c r="W70" s="205"/>
      <c r="X70" s="205"/>
      <c r="Y70" s="205"/>
      <c r="Z70" s="205"/>
      <c r="AA70" s="205"/>
      <c r="AB70" s="205"/>
      <c r="AC70" s="205"/>
      <c r="AD70" s="205"/>
      <c r="AE70" s="205"/>
      <c r="AF70" s="205"/>
      <c r="AG70" s="205"/>
      <c r="AH70" s="205"/>
      <c r="AI70" s="205"/>
      <c r="AJ70" s="205"/>
      <c r="AK70" s="205"/>
      <c r="AL70" s="205"/>
      <c r="AM70" s="205"/>
      <c r="AN70" s="205"/>
      <c r="AO70" s="205"/>
      <c r="AP70" s="205"/>
      <c r="AQ70" s="205"/>
      <c r="AR70" s="205"/>
      <c r="AS70" s="205"/>
      <c r="AT70" s="205"/>
      <c r="AU70" s="205"/>
      <c r="AV70" s="205"/>
      <c r="AW70" s="205"/>
      <c r="AX70" s="205"/>
      <c r="AY70" s="205"/>
      <c r="AZ70" s="205"/>
      <c r="BA70" s="251" t="s">
        <v>246</v>
      </c>
      <c r="BB70" s="251"/>
      <c r="BC70" s="251"/>
      <c r="BD70" s="251"/>
      <c r="BE70" s="251"/>
      <c r="BF70" s="251"/>
      <c r="BG70" s="251"/>
      <c r="BH70" s="252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17"/>
      <c r="CA70" s="117"/>
      <c r="CB70" s="117"/>
      <c r="CC70" s="117"/>
      <c r="CD70" s="117"/>
      <c r="CE70" s="117"/>
      <c r="CF70" s="117"/>
      <c r="CG70" s="117"/>
      <c r="CH70" s="117"/>
      <c r="CI70" s="117"/>
      <c r="CJ70" s="117"/>
      <c r="CK70" s="117"/>
      <c r="CL70" s="117"/>
      <c r="CM70" s="117"/>
      <c r="CN70" s="117"/>
      <c r="CO70" s="117"/>
      <c r="CP70" s="117"/>
      <c r="CQ70" s="117"/>
      <c r="CR70" s="117"/>
      <c r="CS70" s="117"/>
      <c r="CT70" s="117"/>
      <c r="CU70" s="117"/>
      <c r="CV70" s="117"/>
      <c r="CW70" s="117"/>
      <c r="CX70" s="117"/>
      <c r="CY70" s="117"/>
      <c r="CZ70" s="117"/>
      <c r="DA70" s="117"/>
      <c r="DB70" s="118"/>
    </row>
    <row r="71" spans="1:106" s="88" customFormat="1" ht="12" customHeight="1">
      <c r="A71" s="241" t="s">
        <v>175</v>
      </c>
      <c r="B71" s="242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3"/>
      <c r="X71" s="244" t="s">
        <v>45</v>
      </c>
      <c r="Y71" s="245"/>
      <c r="Z71" s="245"/>
      <c r="AA71" s="245"/>
      <c r="AB71" s="253">
        <f ca="1">график!C11</f>
        <v>45261</v>
      </c>
      <c r="AC71" s="246"/>
      <c r="AD71" s="246"/>
      <c r="AE71" s="246"/>
      <c r="AF71" s="246"/>
      <c r="AG71" s="93" t="s">
        <v>1</v>
      </c>
      <c r="AH71" s="254">
        <f ca="1">график!E11</f>
        <v>45261</v>
      </c>
      <c r="AI71" s="247"/>
      <c r="AJ71" s="247"/>
      <c r="AK71" s="247"/>
      <c r="AL71" s="247"/>
      <c r="AM71" s="255" t="s">
        <v>158</v>
      </c>
      <c r="AN71" s="255"/>
      <c r="AO71" s="91" t="s">
        <v>28</v>
      </c>
      <c r="AP71" s="256">
        <f ca="1">график!F11</f>
        <v>1.0431999999999999</v>
      </c>
      <c r="AQ71" s="256"/>
      <c r="AR71" s="256"/>
      <c r="AS71" s="256"/>
      <c r="AT71" s="255" t="s">
        <v>159</v>
      </c>
      <c r="AU71" s="255"/>
      <c r="AV71" s="91" t="s">
        <v>28</v>
      </c>
      <c r="AW71" s="228">
        <f ca="1">график!G11</f>
        <v>1.0085</v>
      </c>
      <c r="AX71" s="228"/>
      <c r="AY71" s="228"/>
      <c r="AZ71" s="229"/>
      <c r="BA71" s="401"/>
      <c r="BB71" s="402"/>
      <c r="BC71" s="402"/>
      <c r="BD71" s="402"/>
      <c r="BE71" s="402"/>
      <c r="BF71" s="402"/>
      <c r="BG71" s="402"/>
      <c r="BH71" s="403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119"/>
    </row>
    <row r="72" spans="1:106" s="88" customFormat="1" ht="12" customHeight="1">
      <c r="A72" s="273" t="s">
        <v>179</v>
      </c>
      <c r="B72" s="27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5"/>
      <c r="X72" s="208" t="s">
        <v>39</v>
      </c>
      <c r="Y72" s="209"/>
      <c r="Z72" s="209"/>
      <c r="AA72" s="44" t="s">
        <v>28</v>
      </c>
      <c r="AB72" s="258">
        <v>1000</v>
      </c>
      <c r="AC72" s="258"/>
      <c r="AD72" s="258"/>
      <c r="AE72" s="258"/>
      <c r="AF72" s="248" t="s">
        <v>40</v>
      </c>
      <c r="AG72" s="209"/>
      <c r="AH72" s="209"/>
      <c r="AI72" s="209"/>
      <c r="AJ72" s="209"/>
      <c r="AK72" s="44" t="s">
        <v>28</v>
      </c>
      <c r="AL72" s="289">
        <v>9.8000000000000007</v>
      </c>
      <c r="AM72" s="290"/>
      <c r="AN72" s="290"/>
      <c r="AO72" s="290"/>
      <c r="AP72" s="290"/>
      <c r="AQ72" s="258"/>
      <c r="AR72" s="258"/>
      <c r="AS72" s="272" t="s">
        <v>173</v>
      </c>
      <c r="AT72" s="272"/>
      <c r="AU72" s="272"/>
      <c r="AV72" s="98" t="s">
        <v>28</v>
      </c>
      <c r="AW72" s="263">
        <v>0.19</v>
      </c>
      <c r="AX72" s="226"/>
      <c r="AY72" s="226"/>
      <c r="AZ72" s="227"/>
      <c r="BA72" s="210"/>
      <c r="BB72" s="211"/>
      <c r="BC72" s="211"/>
      <c r="BD72" s="211"/>
      <c r="BE72" s="211"/>
      <c r="BF72" s="212"/>
      <c r="BG72" s="212"/>
      <c r="BH72" s="213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119"/>
    </row>
    <row r="73" spans="1:106" s="88" customFormat="1" ht="12" customHeight="1">
      <c r="A73" s="273"/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5"/>
      <c r="X73" s="208" t="s">
        <v>43</v>
      </c>
      <c r="Y73" s="209"/>
      <c r="Z73" s="209"/>
      <c r="AA73" s="44" t="s">
        <v>28</v>
      </c>
      <c r="AB73" s="258">
        <v>5000</v>
      </c>
      <c r="AC73" s="258"/>
      <c r="AD73" s="258"/>
      <c r="AE73" s="258"/>
      <c r="AF73" s="248" t="s">
        <v>44</v>
      </c>
      <c r="AG73" s="209"/>
      <c r="AH73" s="209"/>
      <c r="AI73" s="209"/>
      <c r="AJ73" s="209"/>
      <c r="AK73" s="44" t="s">
        <v>28</v>
      </c>
      <c r="AL73" s="289">
        <v>12.8</v>
      </c>
      <c r="AM73" s="290"/>
      <c r="AN73" s="290"/>
      <c r="AO73" s="290"/>
      <c r="AP73" s="290"/>
      <c r="AQ73" s="108"/>
      <c r="AR73" s="108"/>
      <c r="AS73" s="108"/>
      <c r="AT73" s="108"/>
      <c r="AU73" s="108"/>
      <c r="AV73" s="108"/>
      <c r="AW73" s="108"/>
      <c r="AX73" s="108"/>
      <c r="AY73" s="108"/>
      <c r="AZ73" s="135"/>
      <c r="BA73" s="210"/>
      <c r="BB73" s="211"/>
      <c r="BC73" s="211"/>
      <c r="BD73" s="211"/>
      <c r="BE73" s="211"/>
      <c r="BF73" s="212"/>
      <c r="BG73" s="212"/>
      <c r="BH73" s="213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119"/>
    </row>
    <row r="74" spans="1:106" s="88" customFormat="1" ht="12" customHeight="1">
      <c r="A74" s="273"/>
      <c r="B74" s="27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5"/>
      <c r="X74" s="224" t="s">
        <v>22</v>
      </c>
      <c r="Y74" s="225"/>
      <c r="Z74" s="225"/>
      <c r="AA74" s="94" t="s">
        <v>28</v>
      </c>
      <c r="AB74" s="226" t="str">
        <f>CONCATENATE(AL72," + [(",AL73," - ", AL72,") / (",AB73," - ", AB72,")] x (",D75," - ",AB72,") x ",AW72," = ")</f>
        <v xml:space="preserve">9,8 + [(12,8 - 9,8) / (5000 - 1000)] x (3310 - 1000) x 0,19 = </v>
      </c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226"/>
      <c r="AT74" s="226"/>
      <c r="AU74" s="226"/>
      <c r="AV74" s="226"/>
      <c r="AW74" s="226"/>
      <c r="AX74" s="226"/>
      <c r="AY74" s="226"/>
      <c r="AZ74" s="227"/>
      <c r="BA74" s="210">
        <f>ROUND((AL72 + ((AL73-AL72) / (AB73-AB72)) * (D75-AB72))*AW72,2)</f>
        <v>2.19</v>
      </c>
      <c r="BB74" s="211"/>
      <c r="BC74" s="211"/>
      <c r="BD74" s="211"/>
      <c r="BE74" s="211"/>
      <c r="BF74" s="212" t="s">
        <v>163</v>
      </c>
      <c r="BG74" s="212"/>
      <c r="BH74" s="213"/>
      <c r="BI74" s="87"/>
      <c r="BJ74" s="144" t="s">
        <v>176</v>
      </c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119"/>
    </row>
    <row r="75" spans="1:106" s="88" customFormat="1" ht="12" customHeight="1">
      <c r="A75" s="214" t="s">
        <v>170</v>
      </c>
      <c r="B75" s="215"/>
      <c r="C75" s="113" t="s">
        <v>28</v>
      </c>
      <c r="D75" s="216">
        <f>D57</f>
        <v>3310</v>
      </c>
      <c r="E75" s="216"/>
      <c r="F75" s="216"/>
      <c r="G75" s="216"/>
      <c r="H75" s="216"/>
      <c r="I75" s="218" t="s">
        <v>237</v>
      </c>
      <c r="J75" s="218"/>
      <c r="K75" s="218"/>
      <c r="L75" s="218"/>
      <c r="M75" s="218"/>
      <c r="N75" s="218"/>
      <c r="O75" s="120"/>
      <c r="P75" s="120"/>
      <c r="Q75" s="120"/>
      <c r="R75" s="215"/>
      <c r="S75" s="215"/>
      <c r="T75" s="113"/>
      <c r="U75" s="217"/>
      <c r="V75" s="218"/>
      <c r="W75" s="219"/>
      <c r="X75" s="220" t="s">
        <v>162</v>
      </c>
      <c r="Y75" s="221"/>
      <c r="Z75" s="221"/>
      <c r="AA75" s="97" t="s">
        <v>28</v>
      </c>
      <c r="AB75" s="222" t="str">
        <f ca="1">CONCATENATE(BA74," x ",$AO$17," x ", AP71," x [1 + 0,5 x (",AW71," - 1)]  = ")</f>
        <v xml:space="preserve">2,19 x 307,7 x 1,0432 x [1 + 0,5 x (1,0085 - 1)]  = </v>
      </c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3"/>
      <c r="BA75" s="268">
        <f ca="1">ROUND(BA74*$AO$17*AP71*(1+0.5*(AW71-1)),2)</f>
        <v>705.96</v>
      </c>
      <c r="BB75" s="269"/>
      <c r="BC75" s="269"/>
      <c r="BD75" s="269"/>
      <c r="BE75" s="269"/>
      <c r="BF75" s="270" t="s">
        <v>23</v>
      </c>
      <c r="BG75" s="270"/>
      <c r="BH75" s="271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87"/>
      <c r="CZ75" s="87"/>
      <c r="DA75" s="87"/>
      <c r="DB75" s="119"/>
    </row>
    <row r="76" spans="1:106" ht="12" customHeight="1">
      <c r="A76" s="136" t="s">
        <v>187</v>
      </c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8"/>
      <c r="AL76" s="138"/>
      <c r="AM76" s="138"/>
      <c r="AN76" s="138"/>
      <c r="AO76" s="138"/>
      <c r="AP76" s="138"/>
      <c r="AQ76" s="139"/>
      <c r="AR76" s="140"/>
      <c r="AS76" s="139"/>
      <c r="AT76" s="139"/>
      <c r="AU76" s="139"/>
      <c r="AV76" s="139"/>
      <c r="AW76" s="267" t="s">
        <v>22</v>
      </c>
      <c r="AX76" s="267"/>
      <c r="AY76" s="267"/>
      <c r="AZ76" s="141" t="s">
        <v>28</v>
      </c>
      <c r="BA76" s="259">
        <f>BA56+BA62+BA68+BA74</f>
        <v>23.53</v>
      </c>
      <c r="BB76" s="259"/>
      <c r="BC76" s="259"/>
      <c r="BD76" s="259"/>
      <c r="BE76" s="259"/>
      <c r="BF76" s="142" t="s">
        <v>163</v>
      </c>
      <c r="BG76" s="142"/>
      <c r="BH76" s="143"/>
    </row>
    <row r="77" spans="1:106" s="88" customFormat="1" ht="12" customHeight="1">
      <c r="A77" s="264" t="s">
        <v>160</v>
      </c>
      <c r="B77" s="265"/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111"/>
      <c r="Y77" s="111"/>
      <c r="Z77" s="111"/>
      <c r="AA77" s="111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5"/>
      <c r="AU77" s="115"/>
      <c r="AV77" s="116"/>
      <c r="AW77" s="266" t="s">
        <v>167</v>
      </c>
      <c r="AX77" s="266"/>
      <c r="AY77" s="266"/>
      <c r="AZ77" s="112" t="s">
        <v>28</v>
      </c>
      <c r="BA77" s="260">
        <f ca="1">BA57+BA63+BA69+BA75</f>
        <v>7470.92</v>
      </c>
      <c r="BB77" s="260"/>
      <c r="BC77" s="260"/>
      <c r="BD77" s="260"/>
      <c r="BE77" s="260"/>
      <c r="BF77" s="261" t="s">
        <v>23</v>
      </c>
      <c r="BG77" s="261"/>
      <c r="BH77" s="262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119"/>
    </row>
    <row r="78" spans="1:106" s="1" customFormat="1" ht="13.5" customHeight="1">
      <c r="A78" s="249" t="str">
        <f ca="1">график!A12</f>
        <v>3</v>
      </c>
      <c r="B78" s="250"/>
      <c r="C78" s="236" t="str">
        <f ca="1">график!B12</f>
        <v>УСЛУГИ ПО ПОЛУЧЕНИЮ ЗЕМЕЛЬНОГО УЧАСТКА И РАЗРЕШИТЕЛЬНОЙ ДОКУМЕНТАЦИИ</v>
      </c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  <c r="W78" s="237"/>
      <c r="X78" s="237"/>
      <c r="Y78" s="237"/>
      <c r="Z78" s="237"/>
      <c r="AA78" s="237"/>
      <c r="AB78" s="237"/>
      <c r="AC78" s="237"/>
      <c r="AD78" s="237"/>
      <c r="AE78" s="237"/>
      <c r="AF78" s="237"/>
      <c r="AG78" s="237"/>
      <c r="AH78" s="237"/>
      <c r="AI78" s="237"/>
      <c r="AJ78" s="237"/>
      <c r="AK78" s="237"/>
      <c r="AL78" s="237"/>
      <c r="AM78" s="237"/>
      <c r="AN78" s="237"/>
      <c r="AO78" s="237"/>
      <c r="AP78" s="237"/>
      <c r="AQ78" s="237"/>
      <c r="AR78" s="237"/>
      <c r="AS78" s="237"/>
      <c r="AT78" s="237"/>
      <c r="AU78" s="237"/>
      <c r="AV78" s="237"/>
      <c r="AW78" s="237"/>
      <c r="AX78" s="237"/>
      <c r="AY78" s="237"/>
      <c r="AZ78" s="237"/>
      <c r="BA78" s="237"/>
      <c r="BB78" s="237"/>
      <c r="BC78" s="237"/>
      <c r="BD78" s="237"/>
      <c r="BE78" s="237"/>
      <c r="BF78" s="237"/>
      <c r="BG78" s="237"/>
      <c r="BH78" s="238"/>
      <c r="BI78" s="87"/>
    </row>
    <row r="79" spans="1:106" s="90" customFormat="1" ht="12" customHeight="1">
      <c r="A79" s="239" t="str">
        <f ca="1">график!A13</f>
        <v>3.1</v>
      </c>
      <c r="B79" s="240"/>
      <c r="C79" s="205" t="str">
        <f ca="1">график!B13</f>
        <v>организация процедуры получения земельного участка</v>
      </c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  <c r="AL79" s="205"/>
      <c r="AM79" s="205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51" t="s">
        <v>245</v>
      </c>
      <c r="BB79" s="251"/>
      <c r="BC79" s="251"/>
      <c r="BD79" s="251"/>
      <c r="BE79" s="251"/>
      <c r="BF79" s="251"/>
      <c r="BG79" s="251"/>
      <c r="BH79" s="252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8"/>
    </row>
    <row r="80" spans="1:106" s="88" customFormat="1" ht="12" customHeight="1">
      <c r="A80" s="241" t="s">
        <v>177</v>
      </c>
      <c r="B80" s="242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3"/>
      <c r="X80" s="244" t="s">
        <v>45</v>
      </c>
      <c r="Y80" s="245"/>
      <c r="Z80" s="245"/>
      <c r="AA80" s="245"/>
      <c r="AB80" s="253">
        <f ca="1">график!C13</f>
        <v>45231</v>
      </c>
      <c r="AC80" s="246"/>
      <c r="AD80" s="246"/>
      <c r="AE80" s="246"/>
      <c r="AF80" s="246"/>
      <c r="AG80" s="93" t="s">
        <v>1</v>
      </c>
      <c r="AH80" s="254">
        <f ca="1">график!E13</f>
        <v>45261</v>
      </c>
      <c r="AI80" s="247"/>
      <c r="AJ80" s="247"/>
      <c r="AK80" s="247"/>
      <c r="AL80" s="247"/>
      <c r="AM80" s="255" t="s">
        <v>158</v>
      </c>
      <c r="AN80" s="255"/>
      <c r="AO80" s="91" t="s">
        <v>28</v>
      </c>
      <c r="AP80" s="256">
        <f ca="1">график!F13</f>
        <v>1.0344</v>
      </c>
      <c r="AQ80" s="256"/>
      <c r="AR80" s="256"/>
      <c r="AS80" s="256"/>
      <c r="AT80" s="255" t="s">
        <v>159</v>
      </c>
      <c r="AU80" s="255"/>
      <c r="AV80" s="91" t="s">
        <v>28</v>
      </c>
      <c r="AW80" s="228">
        <f ca="1">график!G13</f>
        <v>1.0170999999999999</v>
      </c>
      <c r="AX80" s="228"/>
      <c r="AY80" s="228"/>
      <c r="AZ80" s="229"/>
      <c r="BA80" s="230"/>
      <c r="BB80" s="231"/>
      <c r="BC80" s="231"/>
      <c r="BD80" s="231"/>
      <c r="BE80" s="231"/>
      <c r="BF80" s="231"/>
      <c r="BG80" s="231"/>
      <c r="BH80" s="232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7"/>
      <c r="CE80" s="87"/>
      <c r="CF80" s="87"/>
      <c r="CG80" s="87"/>
      <c r="CH80" s="87"/>
      <c r="CI80" s="87"/>
      <c r="CJ80" s="87"/>
      <c r="CK80" s="87"/>
      <c r="CL80" s="87"/>
      <c r="CM80" s="87"/>
      <c r="CN80" s="87"/>
      <c r="CO80" s="87"/>
      <c r="CP80" s="87"/>
      <c r="CQ80" s="87"/>
      <c r="CR80" s="87"/>
      <c r="CS80" s="87"/>
      <c r="CT80" s="87"/>
      <c r="CU80" s="87"/>
      <c r="CV80" s="87"/>
      <c r="CW80" s="87"/>
      <c r="CX80" s="87"/>
      <c r="CY80" s="87"/>
      <c r="CZ80" s="87"/>
      <c r="DA80" s="87"/>
      <c r="DB80" s="119"/>
    </row>
    <row r="81" spans="1:106" s="88" customFormat="1" ht="12" customHeight="1">
      <c r="A81" s="233" t="s">
        <v>178</v>
      </c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5"/>
      <c r="X81" s="224" t="s">
        <v>22</v>
      </c>
      <c r="Y81" s="225"/>
      <c r="Z81" s="225"/>
      <c r="AA81" s="94" t="s">
        <v>28</v>
      </c>
      <c r="AB81" s="257">
        <v>6</v>
      </c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  <c r="AP81" s="257"/>
      <c r="AQ81" s="257"/>
      <c r="AR81" s="257"/>
      <c r="AS81" s="257"/>
      <c r="AT81" s="258"/>
      <c r="AU81" s="258"/>
      <c r="AV81" s="98"/>
      <c r="AW81" s="226"/>
      <c r="AX81" s="226"/>
      <c r="AY81" s="226"/>
      <c r="AZ81" s="227"/>
      <c r="BA81" s="210">
        <f>AB81</f>
        <v>6</v>
      </c>
      <c r="BB81" s="211"/>
      <c r="BC81" s="211"/>
      <c r="BD81" s="211"/>
      <c r="BE81" s="211"/>
      <c r="BF81" s="212" t="s">
        <v>163</v>
      </c>
      <c r="BG81" s="212"/>
      <c r="BH81" s="213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7"/>
      <c r="CE81" s="87"/>
      <c r="CF81" s="87"/>
      <c r="CG81" s="87"/>
      <c r="CH81" s="87"/>
      <c r="CI81" s="87"/>
      <c r="CJ81" s="87"/>
      <c r="CK81" s="87"/>
      <c r="CL81" s="87"/>
      <c r="CM81" s="87"/>
      <c r="CN81" s="87"/>
      <c r="CO81" s="87"/>
      <c r="CP81" s="87"/>
      <c r="CQ81" s="87"/>
      <c r="CR81" s="87"/>
      <c r="CS81" s="87"/>
      <c r="CT81" s="87"/>
      <c r="CU81" s="87"/>
      <c r="CV81" s="87"/>
      <c r="CW81" s="87"/>
      <c r="CX81" s="87"/>
      <c r="CY81" s="87"/>
      <c r="CZ81" s="87"/>
      <c r="DA81" s="87"/>
      <c r="DB81" s="119"/>
    </row>
    <row r="82" spans="1:106" s="88" customFormat="1" ht="12" customHeight="1">
      <c r="A82" s="278" t="s">
        <v>160</v>
      </c>
      <c r="B82" s="279"/>
      <c r="C82" s="279"/>
      <c r="D82" s="279"/>
      <c r="E82" s="279"/>
      <c r="F82" s="279"/>
      <c r="G82" s="279"/>
      <c r="H82" s="279"/>
      <c r="I82" s="279"/>
      <c r="J82" s="279"/>
      <c r="K82" s="279"/>
      <c r="L82" s="279"/>
      <c r="M82" s="279"/>
      <c r="N82" s="279"/>
      <c r="O82" s="279"/>
      <c r="P82" s="279"/>
      <c r="Q82" s="92"/>
      <c r="R82" s="280"/>
      <c r="S82" s="280"/>
      <c r="T82" s="145"/>
      <c r="U82" s="281"/>
      <c r="V82" s="282"/>
      <c r="W82" s="283"/>
      <c r="X82" s="224" t="s">
        <v>162</v>
      </c>
      <c r="Y82" s="225"/>
      <c r="Z82" s="225"/>
      <c r="AA82" s="94" t="s">
        <v>28</v>
      </c>
      <c r="AB82" s="226" t="str">
        <f ca="1">CONCATENATE(AB81," x ",$AO$17," x ", AP80," x [1 + 0,5 x (",AW80," - 1)]  = ")</f>
        <v xml:space="preserve">6 x 307,7 x 1,0344 x [1 + 0,5 x (1,0171 - 1)]  = </v>
      </c>
      <c r="AC82" s="226"/>
      <c r="AD82" s="226"/>
      <c r="AE82" s="226"/>
      <c r="AF82" s="226"/>
      <c r="AG82" s="226"/>
      <c r="AH82" s="226"/>
      <c r="AI82" s="226"/>
      <c r="AJ82" s="226"/>
      <c r="AK82" s="226"/>
      <c r="AL82" s="226"/>
      <c r="AM82" s="226"/>
      <c r="AN82" s="226"/>
      <c r="AO82" s="226"/>
      <c r="AP82" s="226"/>
      <c r="AQ82" s="226"/>
      <c r="AR82" s="226"/>
      <c r="AS82" s="226"/>
      <c r="AT82" s="226"/>
      <c r="AU82" s="226"/>
      <c r="AV82" s="226"/>
      <c r="AW82" s="226"/>
      <c r="AX82" s="226"/>
      <c r="AY82" s="226"/>
      <c r="AZ82" s="227"/>
      <c r="BA82" s="210">
        <f ca="1">ROUND(AB81*$AO$17*AP80*(1+0.5*(AW80-1)),2)</f>
        <v>1926.04</v>
      </c>
      <c r="BB82" s="211"/>
      <c r="BC82" s="211"/>
      <c r="BD82" s="211"/>
      <c r="BE82" s="211"/>
      <c r="BF82" s="212" t="s">
        <v>23</v>
      </c>
      <c r="BG82" s="212"/>
      <c r="BH82" s="213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/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/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119"/>
    </row>
    <row r="83" spans="1:106" s="90" customFormat="1" ht="12" customHeight="1">
      <c r="A83" s="239" t="str">
        <f ca="1">график!A14</f>
        <v>3.2</v>
      </c>
      <c r="B83" s="240"/>
      <c r="C83" s="205" t="str">
        <f ca="1">график!B14</f>
        <v>организация получения и анализа разрешительной документации</v>
      </c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/>
      <c r="AB83" s="205"/>
      <c r="AC83" s="205"/>
      <c r="AD83" s="205"/>
      <c r="AE83" s="205"/>
      <c r="AF83" s="205"/>
      <c r="AG83" s="205"/>
      <c r="AH83" s="205"/>
      <c r="AI83" s="205"/>
      <c r="AJ83" s="205"/>
      <c r="AK83" s="205"/>
      <c r="AL83" s="205"/>
      <c r="AM83" s="205"/>
      <c r="AN83" s="205"/>
      <c r="AO83" s="205"/>
      <c r="AP83" s="205"/>
      <c r="AQ83" s="205"/>
      <c r="AR83" s="205"/>
      <c r="AS83" s="205"/>
      <c r="AT83" s="205"/>
      <c r="AU83" s="205"/>
      <c r="AV83" s="205"/>
      <c r="AW83" s="205"/>
      <c r="AX83" s="205"/>
      <c r="AY83" s="205"/>
      <c r="AZ83" s="205"/>
      <c r="BA83" s="392" t="s">
        <v>245</v>
      </c>
      <c r="BB83" s="392"/>
      <c r="BC83" s="392"/>
      <c r="BD83" s="392"/>
      <c r="BE83" s="392"/>
      <c r="BF83" s="392"/>
      <c r="BG83" s="392"/>
      <c r="BH83" s="393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8"/>
    </row>
    <row r="84" spans="1:106" s="88" customFormat="1" ht="12" customHeight="1">
      <c r="A84" s="241" t="s">
        <v>180</v>
      </c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3"/>
      <c r="X84" s="244" t="s">
        <v>45</v>
      </c>
      <c r="Y84" s="245"/>
      <c r="Z84" s="245"/>
      <c r="AA84" s="245"/>
      <c r="AB84" s="253">
        <f ca="1">график!C14</f>
        <v>45261</v>
      </c>
      <c r="AC84" s="246"/>
      <c r="AD84" s="246"/>
      <c r="AE84" s="246"/>
      <c r="AF84" s="246"/>
      <c r="AG84" s="93" t="s">
        <v>1</v>
      </c>
      <c r="AH84" s="254">
        <f ca="1">график!E14</f>
        <v>45292</v>
      </c>
      <c r="AI84" s="247"/>
      <c r="AJ84" s="247"/>
      <c r="AK84" s="247"/>
      <c r="AL84" s="247"/>
      <c r="AM84" s="255" t="s">
        <v>158</v>
      </c>
      <c r="AN84" s="255"/>
      <c r="AO84" s="91" t="s">
        <v>28</v>
      </c>
      <c r="AP84" s="256">
        <f ca="1">график!F14</f>
        <v>1.0431999999999999</v>
      </c>
      <c r="AQ84" s="256"/>
      <c r="AR84" s="256"/>
      <c r="AS84" s="256"/>
      <c r="AT84" s="255" t="s">
        <v>159</v>
      </c>
      <c r="AU84" s="255"/>
      <c r="AV84" s="91" t="s">
        <v>28</v>
      </c>
      <c r="AW84" s="228">
        <f ca="1">график!G14</f>
        <v>1.0162</v>
      </c>
      <c r="AX84" s="228"/>
      <c r="AY84" s="228"/>
      <c r="AZ84" s="229"/>
      <c r="BA84" s="230"/>
      <c r="BB84" s="231"/>
      <c r="BC84" s="231"/>
      <c r="BD84" s="231"/>
      <c r="BE84" s="231"/>
      <c r="BF84" s="231"/>
      <c r="BG84" s="231"/>
      <c r="BH84" s="232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7"/>
      <c r="CE84" s="87"/>
      <c r="CF84" s="87"/>
      <c r="CG84" s="87"/>
      <c r="CH84" s="87"/>
      <c r="CI84" s="87"/>
      <c r="CJ84" s="87"/>
      <c r="CK84" s="87"/>
      <c r="CL84" s="87"/>
      <c r="CM84" s="87"/>
      <c r="CN84" s="87"/>
      <c r="CO84" s="87"/>
      <c r="CP84" s="87"/>
      <c r="CQ84" s="87"/>
      <c r="CR84" s="87"/>
      <c r="CS84" s="87"/>
      <c r="CT84" s="87"/>
      <c r="CU84" s="87"/>
      <c r="CV84" s="87"/>
      <c r="CW84" s="87"/>
      <c r="CX84" s="87"/>
      <c r="CY84" s="87"/>
      <c r="CZ84" s="87"/>
      <c r="DA84" s="87"/>
      <c r="DB84" s="119"/>
    </row>
    <row r="85" spans="1:106" s="88" customFormat="1" ht="12" customHeight="1">
      <c r="A85" s="233" t="s">
        <v>178</v>
      </c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5"/>
      <c r="X85" s="224" t="s">
        <v>22</v>
      </c>
      <c r="Y85" s="225"/>
      <c r="Z85" s="225"/>
      <c r="AA85" s="94" t="s">
        <v>28</v>
      </c>
      <c r="AB85" s="257">
        <v>4.5</v>
      </c>
      <c r="AC85" s="257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7"/>
      <c r="AP85" s="257"/>
      <c r="AQ85" s="257"/>
      <c r="AR85" s="257"/>
      <c r="AS85" s="257"/>
      <c r="AT85" s="258"/>
      <c r="AU85" s="258"/>
      <c r="AV85" s="98"/>
      <c r="AW85" s="226"/>
      <c r="AX85" s="226"/>
      <c r="AY85" s="226"/>
      <c r="AZ85" s="227"/>
      <c r="BA85" s="210">
        <f>AB85</f>
        <v>4.5</v>
      </c>
      <c r="BB85" s="211"/>
      <c r="BC85" s="211"/>
      <c r="BD85" s="211"/>
      <c r="BE85" s="211"/>
      <c r="BF85" s="212" t="s">
        <v>163</v>
      </c>
      <c r="BG85" s="212"/>
      <c r="BH85" s="213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S85" s="87"/>
      <c r="BT85" s="87"/>
      <c r="BU85" s="87"/>
      <c r="BV85" s="87"/>
      <c r="BW85" s="87"/>
      <c r="BX85" s="87"/>
      <c r="BY85" s="87"/>
      <c r="BZ85" s="87"/>
      <c r="CA85" s="87"/>
      <c r="CB85" s="87"/>
      <c r="CC85" s="87"/>
      <c r="CD85" s="87"/>
      <c r="CE85" s="87"/>
      <c r="CF85" s="87"/>
      <c r="CG85" s="87"/>
      <c r="CH85" s="87"/>
      <c r="CI85" s="87"/>
      <c r="CJ85" s="87"/>
      <c r="CK85" s="87"/>
      <c r="CL85" s="87"/>
      <c r="CM85" s="87"/>
      <c r="CN85" s="87"/>
      <c r="CO85" s="87"/>
      <c r="CP85" s="87"/>
      <c r="CQ85" s="87"/>
      <c r="CR85" s="87"/>
      <c r="CS85" s="87"/>
      <c r="CT85" s="87"/>
      <c r="CU85" s="87"/>
      <c r="CV85" s="87"/>
      <c r="CW85" s="87"/>
      <c r="CX85" s="87"/>
      <c r="CY85" s="87"/>
      <c r="CZ85" s="87"/>
      <c r="DA85" s="87"/>
      <c r="DB85" s="119"/>
    </row>
    <row r="86" spans="1:106" s="88" customFormat="1" ht="12" customHeight="1">
      <c r="A86" s="278" t="s">
        <v>160</v>
      </c>
      <c r="B86" s="279"/>
      <c r="C86" s="279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79"/>
      <c r="O86" s="279"/>
      <c r="P86" s="279"/>
      <c r="Q86" s="92"/>
      <c r="R86" s="280"/>
      <c r="S86" s="280"/>
      <c r="T86" s="145"/>
      <c r="U86" s="281"/>
      <c r="V86" s="282"/>
      <c r="W86" s="283"/>
      <c r="X86" s="224" t="s">
        <v>162</v>
      </c>
      <c r="Y86" s="225"/>
      <c r="Z86" s="225"/>
      <c r="AA86" s="94" t="s">
        <v>28</v>
      </c>
      <c r="AB86" s="226" t="str">
        <f ca="1">CONCATENATE(AB85," x ",$AO$17," x ", AP84," x [1 + 0,5 x (",AW84," - 1)]  = ")</f>
        <v xml:space="preserve">4,5 x 307,7 x 1,0432 x [1 + 0,5 x (1,0162 - 1)]  = </v>
      </c>
      <c r="AC86" s="226"/>
      <c r="AD86" s="226"/>
      <c r="AE86" s="226"/>
      <c r="AF86" s="226"/>
      <c r="AG86" s="226"/>
      <c r="AH86" s="226"/>
      <c r="AI86" s="226"/>
      <c r="AJ86" s="226"/>
      <c r="AK86" s="226"/>
      <c r="AL86" s="226"/>
      <c r="AM86" s="226"/>
      <c r="AN86" s="226"/>
      <c r="AO86" s="226"/>
      <c r="AP86" s="226"/>
      <c r="AQ86" s="226"/>
      <c r="AR86" s="226"/>
      <c r="AS86" s="226"/>
      <c r="AT86" s="226"/>
      <c r="AU86" s="226"/>
      <c r="AV86" s="226"/>
      <c r="AW86" s="226"/>
      <c r="AX86" s="226"/>
      <c r="AY86" s="226"/>
      <c r="AZ86" s="227"/>
      <c r="BA86" s="210">
        <f ca="1">ROUND(AB85*$AO$17*AP84*(1+0.5*(AW84-1)),2)</f>
        <v>1456.17</v>
      </c>
      <c r="BB86" s="211"/>
      <c r="BC86" s="211"/>
      <c r="BD86" s="211"/>
      <c r="BE86" s="211"/>
      <c r="BF86" s="212" t="s">
        <v>23</v>
      </c>
      <c r="BG86" s="212"/>
      <c r="BH86" s="213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87"/>
      <c r="BW86" s="87"/>
      <c r="BX86" s="87"/>
      <c r="BY86" s="87"/>
      <c r="BZ86" s="87"/>
      <c r="CA86" s="87"/>
      <c r="CB86" s="87"/>
      <c r="CC86" s="87"/>
      <c r="CD86" s="87"/>
      <c r="CE86" s="87"/>
      <c r="CF86" s="87"/>
      <c r="CG86" s="87"/>
      <c r="CH86" s="87"/>
      <c r="CI86" s="87"/>
      <c r="CJ86" s="87"/>
      <c r="CK86" s="87"/>
      <c r="CL86" s="87"/>
      <c r="CM86" s="87"/>
      <c r="CN86" s="87"/>
      <c r="CO86" s="87"/>
      <c r="CP86" s="87"/>
      <c r="CQ86" s="87"/>
      <c r="CR86" s="87"/>
      <c r="CS86" s="87"/>
      <c r="CT86" s="87"/>
      <c r="CU86" s="87"/>
      <c r="CV86" s="87"/>
      <c r="CW86" s="87"/>
      <c r="CX86" s="87"/>
      <c r="CY86" s="87"/>
      <c r="CZ86" s="87"/>
      <c r="DA86" s="87"/>
      <c r="DB86" s="119"/>
    </row>
    <row r="87" spans="1:106" ht="12" customHeight="1">
      <c r="A87" s="103" t="s">
        <v>188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5"/>
      <c r="AL87" s="105"/>
      <c r="AM87" s="105"/>
      <c r="AN87" s="105"/>
      <c r="AO87" s="105"/>
      <c r="AP87" s="105"/>
      <c r="AQ87" s="106"/>
      <c r="AR87" s="107"/>
      <c r="AS87" s="106"/>
      <c r="AT87" s="106"/>
      <c r="AU87" s="106"/>
      <c r="AV87" s="106"/>
      <c r="AW87" s="291" t="s">
        <v>22</v>
      </c>
      <c r="AX87" s="291"/>
      <c r="AY87" s="291"/>
      <c r="AZ87" s="156" t="s">
        <v>28</v>
      </c>
      <c r="BA87" s="292">
        <f>BA85+BA81</f>
        <v>10.5</v>
      </c>
      <c r="BB87" s="292"/>
      <c r="BC87" s="292"/>
      <c r="BD87" s="292"/>
      <c r="BE87" s="292"/>
      <c r="BF87" s="157" t="s">
        <v>163</v>
      </c>
      <c r="BG87" s="157"/>
      <c r="BH87" s="158"/>
    </row>
    <row r="88" spans="1:106" s="88" customFormat="1" ht="12" customHeight="1">
      <c r="A88" s="264" t="s">
        <v>160</v>
      </c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111"/>
      <c r="Y88" s="111"/>
      <c r="Z88" s="111"/>
      <c r="AA88" s="111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5"/>
      <c r="AU88" s="115"/>
      <c r="AV88" s="116"/>
      <c r="AW88" s="266" t="s">
        <v>167</v>
      </c>
      <c r="AX88" s="266"/>
      <c r="AY88" s="266"/>
      <c r="AZ88" s="112" t="s">
        <v>28</v>
      </c>
      <c r="BA88" s="260">
        <f ca="1">BA86+BA82</f>
        <v>3382.21</v>
      </c>
      <c r="BB88" s="260"/>
      <c r="BC88" s="260"/>
      <c r="BD88" s="260"/>
      <c r="BE88" s="260"/>
      <c r="BF88" s="261" t="s">
        <v>23</v>
      </c>
      <c r="BG88" s="261"/>
      <c r="BH88" s="262"/>
      <c r="BI88" s="87"/>
      <c r="BJ88" s="87"/>
      <c r="BK88" s="87"/>
      <c r="BL88" s="87"/>
      <c r="BM88" s="87"/>
      <c r="BN88" s="87"/>
      <c r="BO88" s="87"/>
      <c r="BP88" s="87"/>
      <c r="BQ88" s="87"/>
      <c r="BR88" s="87"/>
      <c r="BS88" s="87"/>
      <c r="BT88" s="87"/>
      <c r="BU88" s="87"/>
      <c r="BV88" s="87"/>
      <c r="BW88" s="87"/>
      <c r="BX88" s="87"/>
      <c r="BY88" s="87"/>
      <c r="BZ88" s="87"/>
      <c r="CA88" s="87"/>
      <c r="CB88" s="87"/>
      <c r="CC88" s="87"/>
      <c r="CD88" s="87"/>
      <c r="CE88" s="87"/>
      <c r="CF88" s="87"/>
      <c r="CG88" s="87"/>
      <c r="CH88" s="87"/>
      <c r="CI88" s="87"/>
      <c r="CJ88" s="87"/>
      <c r="CK88" s="87"/>
      <c r="CL88" s="87"/>
      <c r="CM88" s="87"/>
      <c r="CN88" s="87"/>
      <c r="CO88" s="87"/>
      <c r="CP88" s="87"/>
      <c r="CQ88" s="87"/>
      <c r="CR88" s="87"/>
      <c r="CS88" s="87"/>
      <c r="CT88" s="87"/>
      <c r="CU88" s="87"/>
      <c r="CV88" s="87"/>
      <c r="CW88" s="87"/>
      <c r="CX88" s="87"/>
      <c r="CY88" s="87"/>
      <c r="CZ88" s="87"/>
      <c r="DA88" s="87"/>
      <c r="DB88" s="119"/>
    </row>
    <row r="89" spans="1:106" s="1" customFormat="1" ht="13.5" customHeight="1">
      <c r="A89" s="249" t="str">
        <f ca="1">график!A15</f>
        <v>4</v>
      </c>
      <c r="B89" s="250"/>
      <c r="C89" s="236" t="str">
        <f ca="1">график!B15</f>
        <v>УСЛУГИ ПО ОРГАНИЗАЦИИ РАЗРАБОТКИ ДОКУМЕНТАЦИИ ПРОЕКТНОГО ОБЕСПЕЧЕНИЯ СТРОИТЕЛЬНОЙ ДЕЯТЕЛЬНОСТИ</v>
      </c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  <c r="Y89" s="237"/>
      <c r="Z89" s="237"/>
      <c r="AA89" s="237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  <c r="AR89" s="237"/>
      <c r="AS89" s="237"/>
      <c r="AT89" s="237"/>
      <c r="AU89" s="237"/>
      <c r="AV89" s="237"/>
      <c r="AW89" s="237"/>
      <c r="AX89" s="237"/>
      <c r="AY89" s="237"/>
      <c r="AZ89" s="237"/>
      <c r="BA89" s="237"/>
      <c r="BB89" s="237"/>
      <c r="BC89" s="237"/>
      <c r="BD89" s="237"/>
      <c r="BE89" s="237"/>
      <c r="BF89" s="237"/>
      <c r="BG89" s="237"/>
      <c r="BH89" s="238"/>
      <c r="BI89" s="87"/>
    </row>
    <row r="90" spans="1:106" s="90" customFormat="1" ht="12" customHeight="1">
      <c r="A90" s="239" t="str">
        <f ca="1">график!A16</f>
        <v>4.1</v>
      </c>
      <c r="B90" s="240"/>
      <c r="C90" s="205" t="str">
        <f ca="1">график!B16</f>
        <v>обеспечение общего руководства проектированием и планированием строительства</v>
      </c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  <c r="AE90" s="205"/>
      <c r="AF90" s="205"/>
      <c r="AG90" s="205"/>
      <c r="AH90" s="205"/>
      <c r="AI90" s="205"/>
      <c r="AJ90" s="205"/>
      <c r="AK90" s="205"/>
      <c r="AL90" s="205"/>
      <c r="AM90" s="205"/>
      <c r="AN90" s="205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51" t="s">
        <v>245</v>
      </c>
      <c r="BB90" s="251"/>
      <c r="BC90" s="251"/>
      <c r="BD90" s="251"/>
      <c r="BE90" s="251"/>
      <c r="BF90" s="251"/>
      <c r="BG90" s="251"/>
      <c r="BH90" s="252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117"/>
      <c r="BT90" s="117"/>
      <c r="BU90" s="117"/>
      <c r="BV90" s="117"/>
      <c r="BW90" s="117"/>
      <c r="BX90" s="117"/>
      <c r="BY90" s="117"/>
      <c r="BZ90" s="117"/>
      <c r="CA90" s="117"/>
      <c r="CB90" s="117"/>
      <c r="CC90" s="117"/>
      <c r="CD90" s="117"/>
      <c r="CE90" s="117"/>
      <c r="CF90" s="117"/>
      <c r="CG90" s="117"/>
      <c r="CH90" s="117"/>
      <c r="CI90" s="117"/>
      <c r="CJ90" s="117"/>
      <c r="CK90" s="117"/>
      <c r="CL90" s="117"/>
      <c r="CM90" s="117"/>
      <c r="CN90" s="117"/>
      <c r="CO90" s="117"/>
      <c r="CP90" s="117"/>
      <c r="CQ90" s="117"/>
      <c r="CR90" s="117"/>
      <c r="CS90" s="117"/>
      <c r="CT90" s="117"/>
      <c r="CU90" s="117"/>
      <c r="CV90" s="117"/>
      <c r="CW90" s="117"/>
      <c r="CX90" s="117"/>
      <c r="CY90" s="117"/>
      <c r="CZ90" s="117"/>
      <c r="DA90" s="117"/>
      <c r="DB90" s="118"/>
    </row>
    <row r="91" spans="1:106" s="88" customFormat="1" ht="12" customHeight="1">
      <c r="A91" s="241" t="s">
        <v>181</v>
      </c>
      <c r="B91" s="242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3"/>
      <c r="X91" s="244" t="s">
        <v>45</v>
      </c>
      <c r="Y91" s="245"/>
      <c r="Z91" s="245"/>
      <c r="AA91" s="245"/>
      <c r="AB91" s="253">
        <f ca="1">график!C16</f>
        <v>45292</v>
      </c>
      <c r="AC91" s="246"/>
      <c r="AD91" s="246"/>
      <c r="AE91" s="246"/>
      <c r="AF91" s="246"/>
      <c r="AG91" s="93" t="s">
        <v>1</v>
      </c>
      <c r="AH91" s="254">
        <f ca="1">график!E16</f>
        <v>45383</v>
      </c>
      <c r="AI91" s="247"/>
      <c r="AJ91" s="247"/>
      <c r="AK91" s="247"/>
      <c r="AL91" s="247"/>
      <c r="AM91" s="255" t="s">
        <v>158</v>
      </c>
      <c r="AN91" s="255"/>
      <c r="AO91" s="91" t="s">
        <v>28</v>
      </c>
      <c r="AP91" s="256">
        <f ca="1">график!F16</f>
        <v>1.0521</v>
      </c>
      <c r="AQ91" s="256"/>
      <c r="AR91" s="256"/>
      <c r="AS91" s="256"/>
      <c r="AT91" s="255" t="s">
        <v>159</v>
      </c>
      <c r="AU91" s="255"/>
      <c r="AV91" s="91" t="s">
        <v>28</v>
      </c>
      <c r="AW91" s="228">
        <f ca="1">график!G16</f>
        <v>1.0306999999999999</v>
      </c>
      <c r="AX91" s="228"/>
      <c r="AY91" s="228"/>
      <c r="AZ91" s="229"/>
      <c r="BA91" s="230"/>
      <c r="BB91" s="231"/>
      <c r="BC91" s="231"/>
      <c r="BD91" s="231"/>
      <c r="BE91" s="231"/>
      <c r="BF91" s="231"/>
      <c r="BG91" s="231"/>
      <c r="BH91" s="232"/>
      <c r="BI91" s="87"/>
      <c r="BJ91" s="87"/>
      <c r="BK91" s="87"/>
      <c r="BL91" s="87"/>
      <c r="BM91" s="87"/>
      <c r="BN91" s="87"/>
      <c r="BO91" s="87"/>
      <c r="BP91" s="87"/>
      <c r="BQ91" s="87"/>
      <c r="BR91" s="87"/>
      <c r="BS91" s="87"/>
      <c r="BT91" s="87"/>
      <c r="BU91" s="87"/>
      <c r="BV91" s="87"/>
      <c r="BW91" s="87"/>
      <c r="BX91" s="87"/>
      <c r="BY91" s="87"/>
      <c r="BZ91" s="87"/>
      <c r="CA91" s="87"/>
      <c r="CB91" s="87"/>
      <c r="CC91" s="87"/>
      <c r="CD91" s="87"/>
      <c r="CE91" s="87"/>
      <c r="CF91" s="87"/>
      <c r="CG91" s="87"/>
      <c r="CH91" s="87"/>
      <c r="CI91" s="87"/>
      <c r="CJ91" s="87"/>
      <c r="CK91" s="87"/>
      <c r="CL91" s="87"/>
      <c r="CM91" s="87"/>
      <c r="CN91" s="87"/>
      <c r="CO91" s="87"/>
      <c r="CP91" s="87"/>
      <c r="CQ91" s="87"/>
      <c r="CR91" s="87"/>
      <c r="CS91" s="87"/>
      <c r="CT91" s="87"/>
      <c r="CU91" s="87"/>
      <c r="CV91" s="87"/>
      <c r="CW91" s="87"/>
      <c r="CX91" s="87"/>
      <c r="CY91" s="87"/>
      <c r="CZ91" s="87"/>
      <c r="DA91" s="87"/>
      <c r="DB91" s="119"/>
    </row>
    <row r="92" spans="1:106" s="88" customFormat="1" ht="12" customHeight="1">
      <c r="A92" s="273" t="s">
        <v>179</v>
      </c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5"/>
      <c r="X92" s="208" t="s">
        <v>39</v>
      </c>
      <c r="Y92" s="209"/>
      <c r="Z92" s="209"/>
      <c r="AA92" s="44" t="s">
        <v>28</v>
      </c>
      <c r="AB92" s="226">
        <v>3000</v>
      </c>
      <c r="AC92" s="226"/>
      <c r="AD92" s="226"/>
      <c r="AE92" s="226"/>
      <c r="AF92" s="248" t="s">
        <v>40</v>
      </c>
      <c r="AG92" s="209"/>
      <c r="AH92" s="209"/>
      <c r="AI92" s="209"/>
      <c r="AJ92" s="209"/>
      <c r="AK92" s="44" t="s">
        <v>28</v>
      </c>
      <c r="AL92" s="289">
        <v>15</v>
      </c>
      <c r="AM92" s="290"/>
      <c r="AN92" s="290"/>
      <c r="AO92" s="290"/>
      <c r="AP92" s="290"/>
      <c r="AQ92" s="258"/>
      <c r="AR92" s="258"/>
      <c r="AS92" s="272"/>
      <c r="AT92" s="272"/>
      <c r="AU92" s="272"/>
      <c r="AV92" s="98"/>
      <c r="AW92" s="263"/>
      <c r="AX92" s="226"/>
      <c r="AY92" s="226"/>
      <c r="AZ92" s="227"/>
      <c r="BA92" s="210"/>
      <c r="BB92" s="211"/>
      <c r="BC92" s="211"/>
      <c r="BD92" s="211"/>
      <c r="BE92" s="211"/>
      <c r="BF92" s="212"/>
      <c r="BG92" s="212"/>
      <c r="BH92" s="213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/>
      <c r="BW92" s="87"/>
      <c r="BX92" s="87"/>
      <c r="BY92" s="87"/>
      <c r="BZ92" s="87"/>
      <c r="CA92" s="87"/>
      <c r="CB92" s="87"/>
      <c r="CC92" s="87"/>
      <c r="CD92" s="87"/>
      <c r="CE92" s="87"/>
      <c r="CF92" s="87"/>
      <c r="CG92" s="87"/>
      <c r="CH92" s="87"/>
      <c r="CI92" s="87"/>
      <c r="CJ92" s="87"/>
      <c r="CK92" s="87"/>
      <c r="CL92" s="87"/>
      <c r="CM92" s="87"/>
      <c r="CN92" s="87"/>
      <c r="CO92" s="87"/>
      <c r="CP92" s="87"/>
      <c r="CQ92" s="87"/>
      <c r="CR92" s="87"/>
      <c r="CS92" s="87"/>
      <c r="CT92" s="87"/>
      <c r="CU92" s="87"/>
      <c r="CV92" s="87"/>
      <c r="CW92" s="87"/>
      <c r="CX92" s="87"/>
      <c r="CY92" s="87"/>
      <c r="CZ92" s="87"/>
      <c r="DA92" s="87"/>
      <c r="DB92" s="119"/>
    </row>
    <row r="93" spans="1:106" s="88" customFormat="1" ht="12" customHeight="1">
      <c r="A93" s="273"/>
      <c r="B93" s="274"/>
      <c r="C93" s="274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5"/>
      <c r="X93" s="208" t="s">
        <v>43</v>
      </c>
      <c r="Y93" s="209"/>
      <c r="Z93" s="209"/>
      <c r="AA93" s="44" t="s">
        <v>28</v>
      </c>
      <c r="AB93" s="226">
        <v>4000</v>
      </c>
      <c r="AC93" s="226"/>
      <c r="AD93" s="226"/>
      <c r="AE93" s="226"/>
      <c r="AF93" s="248" t="s">
        <v>44</v>
      </c>
      <c r="AG93" s="209"/>
      <c r="AH93" s="209"/>
      <c r="AI93" s="209"/>
      <c r="AJ93" s="209"/>
      <c r="AK93" s="44" t="s">
        <v>28</v>
      </c>
      <c r="AL93" s="289">
        <v>18.100000000000001</v>
      </c>
      <c r="AM93" s="290"/>
      <c r="AN93" s="290"/>
      <c r="AO93" s="290"/>
      <c r="AP93" s="290"/>
      <c r="AQ93" s="108"/>
      <c r="AR93" s="108"/>
      <c r="AS93" s="108"/>
      <c r="AT93" s="108"/>
      <c r="AU93" s="108"/>
      <c r="AV93" s="108"/>
      <c r="AW93" s="108"/>
      <c r="AX93" s="108"/>
      <c r="AY93" s="108"/>
      <c r="AZ93" s="135"/>
      <c r="BA93" s="210"/>
      <c r="BB93" s="211"/>
      <c r="BC93" s="211"/>
      <c r="BD93" s="211"/>
      <c r="BE93" s="211"/>
      <c r="BF93" s="212"/>
      <c r="BG93" s="212"/>
      <c r="BH93" s="213"/>
      <c r="BI93" s="87"/>
      <c r="BJ93" s="87"/>
      <c r="BK93" s="87"/>
      <c r="BL93" s="87"/>
      <c r="BM93" s="87"/>
      <c r="BN93" s="87"/>
      <c r="BO93" s="87"/>
      <c r="BP93" s="87"/>
      <c r="BQ93" s="87"/>
      <c r="BR93" s="87"/>
      <c r="BS93" s="87"/>
      <c r="BT93" s="87"/>
      <c r="BU93" s="87"/>
      <c r="BV93" s="87"/>
      <c r="BW93" s="87"/>
      <c r="BX93" s="87"/>
      <c r="BY93" s="87"/>
      <c r="BZ93" s="87"/>
      <c r="CA93" s="87"/>
      <c r="CB93" s="87"/>
      <c r="CC93" s="87"/>
      <c r="CD93" s="87"/>
      <c r="CE93" s="87"/>
      <c r="CF93" s="87"/>
      <c r="CG93" s="87"/>
      <c r="CH93" s="87"/>
      <c r="CI93" s="87"/>
      <c r="CJ93" s="87"/>
      <c r="CK93" s="87"/>
      <c r="CL93" s="87"/>
      <c r="CM93" s="87"/>
      <c r="CN93" s="87"/>
      <c r="CO93" s="87"/>
      <c r="CP93" s="87"/>
      <c r="CQ93" s="87"/>
      <c r="CR93" s="87"/>
      <c r="CS93" s="87"/>
      <c r="CT93" s="87"/>
      <c r="CU93" s="87"/>
      <c r="CV93" s="87"/>
      <c r="CW93" s="87"/>
      <c r="CX93" s="87"/>
      <c r="CY93" s="87"/>
      <c r="CZ93" s="87"/>
      <c r="DA93" s="87"/>
      <c r="DB93" s="119"/>
    </row>
    <row r="94" spans="1:106" s="88" customFormat="1" ht="12" customHeight="1">
      <c r="A94" s="273"/>
      <c r="B94" s="274"/>
      <c r="C94" s="274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5"/>
      <c r="X94" s="224" t="s">
        <v>22</v>
      </c>
      <c r="Y94" s="225"/>
      <c r="Z94" s="225"/>
      <c r="AA94" s="94" t="s">
        <v>28</v>
      </c>
      <c r="AB94" s="226" t="str">
        <f>CONCATENATE(AL92," + [(",AL93," - ", AL92,") / (",AB93," - ", AB92,")] x (",D98," - ",AB92,")  = ")</f>
        <v xml:space="preserve">15 + [(18,1 - 15) / (4000 - 3000)] x (3310 - 3000)  = </v>
      </c>
      <c r="AC94" s="226"/>
      <c r="AD94" s="226"/>
      <c r="AE94" s="226"/>
      <c r="AF94" s="226"/>
      <c r="AG94" s="226"/>
      <c r="AH94" s="226"/>
      <c r="AI94" s="226"/>
      <c r="AJ94" s="226"/>
      <c r="AK94" s="226"/>
      <c r="AL94" s="226"/>
      <c r="AM94" s="226"/>
      <c r="AN94" s="226"/>
      <c r="AO94" s="226"/>
      <c r="AP94" s="226"/>
      <c r="AQ94" s="226"/>
      <c r="AR94" s="226"/>
      <c r="AS94" s="226"/>
      <c r="AT94" s="226"/>
      <c r="AU94" s="226"/>
      <c r="AV94" s="226"/>
      <c r="AW94" s="226"/>
      <c r="AX94" s="226"/>
      <c r="AY94" s="226"/>
      <c r="AZ94" s="227"/>
      <c r="BA94" s="210">
        <f>ROUND(AL92 + ((AL93-AL92) / (AB93-AB92)) * (D98-AB92),2)</f>
        <v>15.96</v>
      </c>
      <c r="BB94" s="211"/>
      <c r="BC94" s="211"/>
      <c r="BD94" s="211"/>
      <c r="BE94" s="211"/>
      <c r="BF94" s="212" t="s">
        <v>163</v>
      </c>
      <c r="BG94" s="212"/>
      <c r="BH94" s="213"/>
      <c r="BI94" s="87"/>
      <c r="BJ94" s="144" t="s">
        <v>171</v>
      </c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  <c r="BX94" s="87"/>
      <c r="BY94" s="87"/>
      <c r="BZ94" s="87"/>
      <c r="CA94" s="87"/>
      <c r="CB94" s="87"/>
      <c r="CC94" s="87"/>
      <c r="CD94" s="87"/>
      <c r="CE94" s="87"/>
      <c r="CF94" s="87"/>
      <c r="CG94" s="87"/>
      <c r="CH94" s="87"/>
      <c r="CI94" s="87"/>
      <c r="CJ94" s="87"/>
      <c r="CK94" s="87"/>
      <c r="CL94" s="87"/>
      <c r="CM94" s="87"/>
      <c r="CN94" s="87"/>
      <c r="CO94" s="87"/>
      <c r="CP94" s="87"/>
      <c r="CQ94" s="87"/>
      <c r="CR94" s="87"/>
      <c r="CS94" s="87"/>
      <c r="CT94" s="87"/>
      <c r="CU94" s="87"/>
      <c r="CV94" s="87"/>
      <c r="CW94" s="87"/>
      <c r="CX94" s="87"/>
      <c r="CY94" s="87"/>
      <c r="CZ94" s="87"/>
      <c r="DA94" s="87"/>
      <c r="DB94" s="119"/>
    </row>
    <row r="95" spans="1:106" s="88" customFormat="1" ht="12" customHeight="1">
      <c r="A95" s="286" t="s">
        <v>30</v>
      </c>
      <c r="B95" s="287"/>
      <c r="C95" s="287"/>
      <c r="D95" s="287"/>
      <c r="E95" s="287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8"/>
      <c r="X95" s="208" t="s">
        <v>182</v>
      </c>
      <c r="Y95" s="209"/>
      <c r="Z95" s="209"/>
      <c r="AA95" s="44" t="s">
        <v>28</v>
      </c>
      <c r="AB95" s="276">
        <v>1.05</v>
      </c>
      <c r="AC95" s="276"/>
      <c r="AD95" s="276"/>
      <c r="AE95" s="258" t="s">
        <v>184</v>
      </c>
      <c r="AF95" s="258"/>
      <c r="AG95" s="98" t="s">
        <v>28</v>
      </c>
      <c r="AH95" s="407">
        <f>D98</f>
        <v>3310</v>
      </c>
      <c r="AI95" s="407"/>
      <c r="AJ95" s="407"/>
      <c r="AK95" s="248" t="s">
        <v>189</v>
      </c>
      <c r="AL95" s="248"/>
      <c r="AM95" s="44" t="s">
        <v>28</v>
      </c>
      <c r="AN95" s="226" t="str">
        <f>CONCATENATE("1 + (",AB95," - 1) x ",AH95," / ",D98)</f>
        <v>1 + (1,05 - 1) x 3310 / 3310</v>
      </c>
      <c r="AO95" s="226"/>
      <c r="AP95" s="226"/>
      <c r="AQ95" s="226"/>
      <c r="AR95" s="226"/>
      <c r="AS95" s="226"/>
      <c r="AT95" s="226"/>
      <c r="AU95" s="226"/>
      <c r="AV95" s="226"/>
      <c r="AW95" s="226"/>
      <c r="AX95" s="226"/>
      <c r="AY95" s="226"/>
      <c r="AZ95" s="110" t="s">
        <v>28</v>
      </c>
      <c r="BA95" s="284">
        <f>ROUND(1 + (AB95 - 1) *(AH95 / D98),2)</f>
        <v>1.05</v>
      </c>
      <c r="BB95" s="285"/>
      <c r="BC95" s="285"/>
      <c r="BD95" s="285"/>
      <c r="BE95" s="285"/>
      <c r="BF95" s="100"/>
      <c r="BG95" s="100"/>
      <c r="BH95" s="101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/>
      <c r="BX95" s="87"/>
      <c r="BY95" s="87"/>
      <c r="BZ95" s="87"/>
      <c r="CA95" s="87"/>
      <c r="CB95" s="87"/>
      <c r="CC95" s="87"/>
      <c r="CD95" s="87"/>
      <c r="CE95" s="87"/>
      <c r="CF95" s="87"/>
      <c r="CG95" s="87"/>
      <c r="CH95" s="87"/>
      <c r="CI95" s="87"/>
      <c r="CJ95" s="87"/>
      <c r="CK95" s="87"/>
      <c r="CL95" s="87"/>
      <c r="CM95" s="87"/>
      <c r="CN95" s="87"/>
      <c r="CO95" s="87"/>
      <c r="CP95" s="87"/>
      <c r="CQ95" s="87"/>
      <c r="CR95" s="87"/>
      <c r="CS95" s="87"/>
      <c r="CT95" s="87"/>
      <c r="CU95" s="87"/>
      <c r="CV95" s="87"/>
      <c r="CW95" s="87"/>
      <c r="CX95" s="87"/>
      <c r="CY95" s="87"/>
      <c r="CZ95" s="87"/>
      <c r="DA95" s="87"/>
      <c r="DB95" s="119"/>
    </row>
    <row r="96" spans="1:106" s="88" customFormat="1" ht="12" customHeight="1">
      <c r="A96" s="286" t="s">
        <v>185</v>
      </c>
      <c r="B96" s="287"/>
      <c r="C96" s="287"/>
      <c r="D96" s="287"/>
      <c r="E96" s="287"/>
      <c r="F96" s="287"/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8"/>
      <c r="X96" s="208" t="s">
        <v>183</v>
      </c>
      <c r="Y96" s="209"/>
      <c r="Z96" s="209"/>
      <c r="AA96" s="44" t="s">
        <v>28</v>
      </c>
      <c r="AB96" s="276">
        <v>2.19</v>
      </c>
      <c r="AC96" s="276"/>
      <c r="AD96" s="276"/>
      <c r="AE96" s="258" t="s">
        <v>184</v>
      </c>
      <c r="AF96" s="258"/>
      <c r="AG96" s="98" t="s">
        <v>28</v>
      </c>
      <c r="AH96" s="407">
        <v>180</v>
      </c>
      <c r="AI96" s="407"/>
      <c r="AJ96" s="407"/>
      <c r="AK96" s="248" t="s">
        <v>189</v>
      </c>
      <c r="AL96" s="248"/>
      <c r="AM96" s="44" t="s">
        <v>28</v>
      </c>
      <c r="AN96" s="226" t="str">
        <f>CONCATENATE("1 + (1 - ",AB96,") x ",AH96," / ",D98)</f>
        <v>1 + (1 - 2,19) x 180 / 3310</v>
      </c>
      <c r="AO96" s="226"/>
      <c r="AP96" s="226"/>
      <c r="AQ96" s="226"/>
      <c r="AR96" s="226"/>
      <c r="AS96" s="226"/>
      <c r="AT96" s="226"/>
      <c r="AU96" s="226"/>
      <c r="AV96" s="226"/>
      <c r="AW96" s="226"/>
      <c r="AX96" s="226"/>
      <c r="AY96" s="226"/>
      <c r="AZ96" s="110" t="s">
        <v>28</v>
      </c>
      <c r="BA96" s="284">
        <f>ROUND(1 + (AB96 - 1) *(AH96 / D98),2)</f>
        <v>1.06</v>
      </c>
      <c r="BB96" s="285"/>
      <c r="BC96" s="285"/>
      <c r="BD96" s="285"/>
      <c r="BE96" s="285"/>
      <c r="BF96" s="100"/>
      <c r="BG96" s="100"/>
      <c r="BH96" s="101"/>
      <c r="BI96" s="87"/>
      <c r="BJ96" s="151">
        <f>(1+(BA95-1)+(BA96-1))</f>
        <v>1.1100000000000001</v>
      </c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  <c r="BX96" s="87"/>
      <c r="BY96" s="87"/>
      <c r="BZ96" s="87"/>
      <c r="CA96" s="87"/>
      <c r="CB96" s="87"/>
      <c r="CC96" s="87"/>
      <c r="CD96" s="87"/>
      <c r="CE96" s="87"/>
      <c r="CF96" s="87"/>
      <c r="CG96" s="87"/>
      <c r="CH96" s="87"/>
      <c r="CI96" s="87"/>
      <c r="CJ96" s="87"/>
      <c r="CK96" s="87"/>
      <c r="CL96" s="87"/>
      <c r="CM96" s="87"/>
      <c r="CN96" s="87"/>
      <c r="CO96" s="87"/>
      <c r="CP96" s="87"/>
      <c r="CQ96" s="87"/>
      <c r="CR96" s="87"/>
      <c r="CS96" s="87"/>
      <c r="CT96" s="87"/>
      <c r="CU96" s="87"/>
      <c r="CV96" s="87"/>
      <c r="CW96" s="87"/>
      <c r="CX96" s="87"/>
      <c r="CY96" s="87"/>
      <c r="CZ96" s="87"/>
      <c r="DA96" s="87"/>
      <c r="DB96" s="119"/>
    </row>
    <row r="97" spans="1:106" s="88" customFormat="1" ht="12" customHeight="1">
      <c r="A97" s="129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1"/>
      <c r="X97" s="224" t="s">
        <v>190</v>
      </c>
      <c r="Y97" s="225"/>
      <c r="Z97" s="225"/>
      <c r="AA97" s="94" t="s">
        <v>28</v>
      </c>
      <c r="AB97" s="226" t="str">
        <f>CONCATENATE(BA94," x [1 + (",BA95," - 1) + (",BA96," - 1)] = ",BA94," x ",BJ96," = ")</f>
        <v xml:space="preserve">15,96 x [1 + (1,05 - 1) + (1,06 - 1)] = 15,96 x 1,11 = </v>
      </c>
      <c r="AC97" s="226"/>
      <c r="AD97" s="226"/>
      <c r="AE97" s="226"/>
      <c r="AF97" s="226"/>
      <c r="AG97" s="226"/>
      <c r="AH97" s="226"/>
      <c r="AI97" s="226"/>
      <c r="AJ97" s="226"/>
      <c r="AK97" s="226"/>
      <c r="AL97" s="226"/>
      <c r="AM97" s="226"/>
      <c r="AN97" s="226"/>
      <c r="AO97" s="226"/>
      <c r="AP97" s="226"/>
      <c r="AQ97" s="226"/>
      <c r="AR97" s="226"/>
      <c r="AS97" s="226"/>
      <c r="AT97" s="226"/>
      <c r="AU97" s="226"/>
      <c r="AV97" s="226"/>
      <c r="AW97" s="226"/>
      <c r="AX97" s="226"/>
      <c r="AY97" s="226"/>
      <c r="AZ97" s="227"/>
      <c r="BA97" s="210">
        <f>ROUND(BA94*BJ96,2)</f>
        <v>17.72</v>
      </c>
      <c r="BB97" s="211"/>
      <c r="BC97" s="211"/>
      <c r="BD97" s="211"/>
      <c r="BE97" s="211"/>
      <c r="BF97" s="212" t="s">
        <v>163</v>
      </c>
      <c r="BG97" s="212"/>
      <c r="BH97" s="213"/>
      <c r="BI97" s="87"/>
      <c r="BJ97" s="144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/>
      <c r="CI97" s="87"/>
      <c r="CJ97" s="87"/>
      <c r="CK97" s="87"/>
      <c r="CL97" s="87"/>
      <c r="CM97" s="87"/>
      <c r="CN97" s="87"/>
      <c r="CO97" s="87"/>
      <c r="CP97" s="87"/>
      <c r="CQ97" s="87"/>
      <c r="CR97" s="87"/>
      <c r="CS97" s="87"/>
      <c r="CT97" s="87"/>
      <c r="CU97" s="87"/>
      <c r="CV97" s="87"/>
      <c r="CW97" s="87"/>
      <c r="CX97" s="87"/>
      <c r="CY97" s="87"/>
      <c r="CZ97" s="87"/>
      <c r="DA97" s="87"/>
      <c r="DB97" s="119"/>
    </row>
    <row r="98" spans="1:106" s="88" customFormat="1" ht="12" customHeight="1">
      <c r="A98" s="214" t="s">
        <v>170</v>
      </c>
      <c r="B98" s="215"/>
      <c r="C98" s="113" t="s">
        <v>28</v>
      </c>
      <c r="D98" s="216">
        <f>D75</f>
        <v>3310</v>
      </c>
      <c r="E98" s="216"/>
      <c r="F98" s="216"/>
      <c r="G98" s="216"/>
      <c r="H98" s="216"/>
      <c r="I98" s="218" t="s">
        <v>237</v>
      </c>
      <c r="J98" s="218"/>
      <c r="K98" s="218"/>
      <c r="L98" s="218"/>
      <c r="M98" s="218"/>
      <c r="N98" s="218"/>
      <c r="O98" s="120"/>
      <c r="P98" s="120"/>
      <c r="Q98" s="120"/>
      <c r="R98" s="215"/>
      <c r="S98" s="215"/>
      <c r="T98" s="113"/>
      <c r="U98" s="217"/>
      <c r="V98" s="218"/>
      <c r="W98" s="219"/>
      <c r="X98" s="220" t="s">
        <v>162</v>
      </c>
      <c r="Y98" s="221"/>
      <c r="Z98" s="221"/>
      <c r="AA98" s="97" t="s">
        <v>28</v>
      </c>
      <c r="AB98" s="222" t="str">
        <f ca="1">CONCATENATE(BA97," x ",$AO$17," x ", AP91," x [1 + 0,5 x (",AW91," - 1)]  = ")</f>
        <v xml:space="preserve">17,72 x 307,7 x 1,0521 x [1 + 0,5 x (1,0307 - 1)]  = </v>
      </c>
      <c r="AC98" s="222"/>
      <c r="AD98" s="222"/>
      <c r="AE98" s="222"/>
      <c r="AF98" s="222"/>
      <c r="AG98" s="222"/>
      <c r="AH98" s="222"/>
      <c r="AI98" s="222"/>
      <c r="AJ98" s="222"/>
      <c r="AK98" s="222"/>
      <c r="AL98" s="222"/>
      <c r="AM98" s="222"/>
      <c r="AN98" s="222"/>
      <c r="AO98" s="222"/>
      <c r="AP98" s="222"/>
      <c r="AQ98" s="222"/>
      <c r="AR98" s="222"/>
      <c r="AS98" s="222"/>
      <c r="AT98" s="222"/>
      <c r="AU98" s="222"/>
      <c r="AV98" s="222"/>
      <c r="AW98" s="222"/>
      <c r="AX98" s="222"/>
      <c r="AY98" s="222"/>
      <c r="AZ98" s="223"/>
      <c r="BA98" s="268">
        <f ca="1">ROUND(BA97*$AO$17*AP91*(1+0.5*(AW91-1)),2)</f>
        <v>5824.57</v>
      </c>
      <c r="BB98" s="269"/>
      <c r="BC98" s="269"/>
      <c r="BD98" s="269"/>
      <c r="BE98" s="269"/>
      <c r="BF98" s="270" t="s">
        <v>23</v>
      </c>
      <c r="BG98" s="270"/>
      <c r="BH98" s="271"/>
      <c r="BI98" s="87"/>
      <c r="BJ98" s="87"/>
      <c r="BK98" s="87"/>
      <c r="BL98" s="87"/>
      <c r="BM98" s="87"/>
      <c r="BN98" s="87"/>
      <c r="BO98" s="87"/>
      <c r="BP98" s="87"/>
      <c r="BQ98" s="87"/>
      <c r="BR98" s="87"/>
      <c r="BS98" s="87"/>
      <c r="BT98" s="87"/>
      <c r="BU98" s="87"/>
      <c r="BV98" s="87"/>
      <c r="BW98" s="87"/>
      <c r="BX98" s="87"/>
      <c r="BY98" s="87"/>
      <c r="BZ98" s="87"/>
      <c r="CA98" s="87"/>
      <c r="CB98" s="87"/>
      <c r="CC98" s="87"/>
      <c r="CD98" s="87"/>
      <c r="CE98" s="87"/>
      <c r="CF98" s="87"/>
      <c r="CG98" s="87"/>
      <c r="CH98" s="87"/>
      <c r="CI98" s="87"/>
      <c r="CJ98" s="87"/>
      <c r="CK98" s="87"/>
      <c r="CL98" s="87"/>
      <c r="CM98" s="87"/>
      <c r="CN98" s="87"/>
      <c r="CO98" s="87"/>
      <c r="CP98" s="87"/>
      <c r="CQ98" s="87"/>
      <c r="CR98" s="87"/>
      <c r="CS98" s="87"/>
      <c r="CT98" s="87"/>
      <c r="CU98" s="87"/>
      <c r="CV98" s="87"/>
      <c r="CW98" s="87"/>
      <c r="CX98" s="87"/>
      <c r="CY98" s="87"/>
      <c r="CZ98" s="87"/>
      <c r="DA98" s="87"/>
      <c r="DB98" s="119"/>
    </row>
    <row r="99" spans="1:106" s="88" customFormat="1" ht="12" customHeight="1">
      <c r="A99" s="241" t="s">
        <v>227</v>
      </c>
      <c r="B99" s="242"/>
      <c r="C99" s="242"/>
      <c r="D99" s="242"/>
      <c r="E99" s="242"/>
      <c r="F99" s="242"/>
      <c r="G99" s="242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3"/>
      <c r="X99" s="299" t="s">
        <v>45</v>
      </c>
      <c r="Y99" s="300"/>
      <c r="Z99" s="300"/>
      <c r="AA99" s="300"/>
      <c r="AB99" s="301">
        <f ca="1">график!C16</f>
        <v>45292</v>
      </c>
      <c r="AC99" s="302"/>
      <c r="AD99" s="302"/>
      <c r="AE99" s="302"/>
      <c r="AF99" s="302"/>
      <c r="AG99" s="169" t="s">
        <v>1</v>
      </c>
      <c r="AH99" s="303">
        <f ca="1">график!E16</f>
        <v>45383</v>
      </c>
      <c r="AI99" s="304"/>
      <c r="AJ99" s="304"/>
      <c r="AK99" s="304"/>
      <c r="AL99" s="304"/>
      <c r="AM99" s="293" t="s">
        <v>158</v>
      </c>
      <c r="AN99" s="293"/>
      <c r="AO99" s="170" t="s">
        <v>28</v>
      </c>
      <c r="AP99" s="294">
        <f ca="1">график!F16</f>
        <v>1.0521</v>
      </c>
      <c r="AQ99" s="294"/>
      <c r="AR99" s="294"/>
      <c r="AS99" s="294"/>
      <c r="AT99" s="293" t="s">
        <v>159</v>
      </c>
      <c r="AU99" s="293"/>
      <c r="AV99" s="170" t="s">
        <v>28</v>
      </c>
      <c r="AW99" s="295">
        <f ca="1">график!G16</f>
        <v>1.0306999999999999</v>
      </c>
      <c r="AX99" s="295"/>
      <c r="AY99" s="295"/>
      <c r="AZ99" s="296"/>
      <c r="BA99" s="230"/>
      <c r="BB99" s="231"/>
      <c r="BC99" s="231"/>
      <c r="BD99" s="231"/>
      <c r="BE99" s="231"/>
      <c r="BF99" s="231"/>
      <c r="BG99" s="231"/>
      <c r="BH99" s="232"/>
      <c r="BI99" s="87"/>
      <c r="BJ99" s="87"/>
      <c r="BK99" s="87"/>
      <c r="BL99" s="87"/>
      <c r="BM99" s="87"/>
      <c r="BN99" s="87"/>
      <c r="BO99" s="87"/>
      <c r="BP99" s="87"/>
      <c r="BQ99" s="87"/>
      <c r="BR99" s="87"/>
      <c r="BS99" s="87"/>
      <c r="BT99" s="87"/>
      <c r="BU99" s="87"/>
      <c r="BV99" s="87"/>
      <c r="BW99" s="87"/>
      <c r="BX99" s="87"/>
      <c r="BY99" s="87"/>
      <c r="BZ99" s="87"/>
      <c r="CA99" s="87"/>
      <c r="CB99" s="87"/>
      <c r="CC99" s="87"/>
      <c r="CD99" s="87"/>
      <c r="CE99" s="87"/>
      <c r="CF99" s="87"/>
      <c r="CG99" s="87"/>
      <c r="CH99" s="87"/>
      <c r="CI99" s="87"/>
      <c r="CJ99" s="87"/>
      <c r="CK99" s="87"/>
      <c r="CL99" s="87"/>
      <c r="CM99" s="87"/>
      <c r="CN99" s="87"/>
      <c r="CO99" s="87"/>
      <c r="CP99" s="87"/>
      <c r="CQ99" s="87"/>
      <c r="CR99" s="87"/>
      <c r="CS99" s="87"/>
      <c r="CT99" s="87"/>
      <c r="CU99" s="87"/>
      <c r="CV99" s="87"/>
      <c r="CW99" s="87"/>
      <c r="CX99" s="87"/>
      <c r="CY99" s="87"/>
      <c r="CZ99" s="87"/>
      <c r="DA99" s="87"/>
      <c r="DB99" s="119"/>
    </row>
    <row r="100" spans="1:106" s="88" customFormat="1" ht="12" customHeight="1">
      <c r="A100" s="273" t="s">
        <v>226</v>
      </c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5"/>
      <c r="X100" s="208" t="s">
        <v>39</v>
      </c>
      <c r="Y100" s="209"/>
      <c r="Z100" s="209"/>
      <c r="AA100" s="44" t="s">
        <v>28</v>
      </c>
      <c r="AB100" s="226">
        <v>100</v>
      </c>
      <c r="AC100" s="226"/>
      <c r="AD100" s="226"/>
      <c r="AE100" s="226"/>
      <c r="AF100" s="248" t="s">
        <v>40</v>
      </c>
      <c r="AG100" s="209"/>
      <c r="AH100" s="209"/>
      <c r="AI100" s="209"/>
      <c r="AJ100" s="209"/>
      <c r="AK100" s="44" t="s">
        <v>28</v>
      </c>
      <c r="AL100" s="297">
        <v>0.3</v>
      </c>
      <c r="AM100" s="298"/>
      <c r="AN100" s="298"/>
      <c r="AO100" s="298"/>
      <c r="AP100" s="298"/>
      <c r="AQ100" s="258"/>
      <c r="AR100" s="258"/>
      <c r="AS100" s="272"/>
      <c r="AT100" s="272"/>
      <c r="AU100" s="272"/>
      <c r="AV100" s="98"/>
      <c r="AW100" s="263"/>
      <c r="AX100" s="226"/>
      <c r="AY100" s="226"/>
      <c r="AZ100" s="227"/>
      <c r="BA100" s="210"/>
      <c r="BB100" s="211"/>
      <c r="BC100" s="211"/>
      <c r="BD100" s="211"/>
      <c r="BE100" s="211"/>
      <c r="BF100" s="212"/>
      <c r="BG100" s="212"/>
      <c r="BH100" s="213"/>
      <c r="BI100" s="87"/>
      <c r="BJ100" s="87"/>
      <c r="BK100" s="87"/>
      <c r="BL100" s="87"/>
      <c r="BM100" s="87"/>
      <c r="BN100" s="87"/>
      <c r="BO100" s="87"/>
      <c r="BP100" s="87"/>
      <c r="BQ100" s="87"/>
      <c r="BR100" s="87"/>
      <c r="BS100" s="87"/>
      <c r="BT100" s="87"/>
      <c r="BU100" s="87"/>
      <c r="BV100" s="87"/>
      <c r="BW100" s="87"/>
      <c r="BX100" s="87"/>
      <c r="BY100" s="87"/>
      <c r="BZ100" s="87"/>
      <c r="CA100" s="87"/>
      <c r="CB100" s="87"/>
      <c r="CC100" s="87"/>
      <c r="CD100" s="87"/>
      <c r="CE100" s="87"/>
      <c r="CF100" s="87"/>
      <c r="CG100" s="87"/>
      <c r="CH100" s="87"/>
      <c r="CI100" s="87"/>
      <c r="CJ100" s="87"/>
      <c r="CK100" s="87"/>
      <c r="CL100" s="87"/>
      <c r="CM100" s="87"/>
      <c r="CN100" s="87"/>
      <c r="CO100" s="87"/>
      <c r="CP100" s="87"/>
      <c r="CQ100" s="87"/>
      <c r="CR100" s="87"/>
      <c r="CS100" s="87"/>
      <c r="CT100" s="87"/>
      <c r="CU100" s="87"/>
      <c r="CV100" s="87"/>
      <c r="CW100" s="87"/>
      <c r="CX100" s="87"/>
      <c r="CY100" s="87"/>
      <c r="CZ100" s="87"/>
      <c r="DA100" s="87"/>
      <c r="DB100" s="119"/>
    </row>
    <row r="101" spans="1:106" s="88" customFormat="1" ht="12" customHeight="1">
      <c r="A101" s="273"/>
      <c r="B101" s="274"/>
      <c r="C101" s="274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5"/>
      <c r="X101" s="208" t="s">
        <v>43</v>
      </c>
      <c r="Y101" s="209"/>
      <c r="Z101" s="209"/>
      <c r="AA101" s="44" t="s">
        <v>28</v>
      </c>
      <c r="AB101" s="226">
        <v>300</v>
      </c>
      <c r="AC101" s="226"/>
      <c r="AD101" s="226"/>
      <c r="AE101" s="226"/>
      <c r="AF101" s="248" t="s">
        <v>44</v>
      </c>
      <c r="AG101" s="209"/>
      <c r="AH101" s="209"/>
      <c r="AI101" s="209"/>
      <c r="AJ101" s="209"/>
      <c r="AK101" s="44" t="s">
        <v>28</v>
      </c>
      <c r="AL101" s="297">
        <v>0.69</v>
      </c>
      <c r="AM101" s="298"/>
      <c r="AN101" s="298"/>
      <c r="AO101" s="298"/>
      <c r="AP101" s="29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35"/>
      <c r="BA101" s="210"/>
      <c r="BB101" s="211"/>
      <c r="BC101" s="211"/>
      <c r="BD101" s="211"/>
      <c r="BE101" s="211"/>
      <c r="BF101" s="212"/>
      <c r="BG101" s="212"/>
      <c r="BH101" s="213"/>
      <c r="BI101" s="87"/>
      <c r="BJ101" s="87"/>
      <c r="BK101" s="87"/>
      <c r="BL101" s="87"/>
      <c r="BM101" s="87"/>
      <c r="BN101" s="87"/>
      <c r="BO101" s="87"/>
      <c r="BP101" s="87"/>
      <c r="BQ101" s="87"/>
      <c r="BR101" s="87"/>
      <c r="BS101" s="87"/>
      <c r="BT101" s="87"/>
      <c r="BU101" s="87"/>
      <c r="BV101" s="87"/>
      <c r="BW101" s="87"/>
      <c r="BX101" s="87"/>
      <c r="BY101" s="87"/>
      <c r="BZ101" s="87"/>
      <c r="CA101" s="87"/>
      <c r="CB101" s="87"/>
      <c r="CC101" s="87"/>
      <c r="CD101" s="87"/>
      <c r="CE101" s="87"/>
      <c r="CF101" s="87"/>
      <c r="CG101" s="87"/>
      <c r="CH101" s="87"/>
      <c r="CI101" s="87"/>
      <c r="CJ101" s="87"/>
      <c r="CK101" s="87"/>
      <c r="CL101" s="87"/>
      <c r="CM101" s="87"/>
      <c r="CN101" s="87"/>
      <c r="CO101" s="87"/>
      <c r="CP101" s="87"/>
      <c r="CQ101" s="87"/>
      <c r="CR101" s="87"/>
      <c r="CS101" s="87"/>
      <c r="CT101" s="87"/>
      <c r="CU101" s="87"/>
      <c r="CV101" s="87"/>
      <c r="CW101" s="87"/>
      <c r="CX101" s="87"/>
      <c r="CY101" s="87"/>
      <c r="CZ101" s="87"/>
      <c r="DA101" s="87"/>
      <c r="DB101" s="119"/>
    </row>
    <row r="102" spans="1:106" s="88" customFormat="1" ht="12" customHeight="1">
      <c r="A102" s="273"/>
      <c r="B102" s="274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5"/>
      <c r="X102" s="224" t="s">
        <v>22</v>
      </c>
      <c r="Y102" s="225"/>
      <c r="Z102" s="225"/>
      <c r="AA102" s="94" t="s">
        <v>28</v>
      </c>
      <c r="AB102" s="226" t="str">
        <f>CONCATENATE(AL100," + [(",AL101," - ", AL100,") / (",AB101," - ", AB100,")] x (",D106," - ",AB100,")  = ")</f>
        <v xml:space="preserve">0,3 + [(0,69 - 0,3) / (300 - 100)] x (107 - 100)  = </v>
      </c>
      <c r="AC102" s="226"/>
      <c r="AD102" s="226"/>
      <c r="AE102" s="226"/>
      <c r="AF102" s="226"/>
      <c r="AG102" s="226"/>
      <c r="AH102" s="226"/>
      <c r="AI102" s="226"/>
      <c r="AJ102" s="226"/>
      <c r="AK102" s="226"/>
      <c r="AL102" s="226"/>
      <c r="AM102" s="226"/>
      <c r="AN102" s="226"/>
      <c r="AO102" s="226"/>
      <c r="AP102" s="226"/>
      <c r="AQ102" s="226"/>
      <c r="AR102" s="226"/>
      <c r="AS102" s="226"/>
      <c r="AT102" s="226"/>
      <c r="AU102" s="226"/>
      <c r="AV102" s="226"/>
      <c r="AW102" s="226"/>
      <c r="AX102" s="226"/>
      <c r="AY102" s="226"/>
      <c r="AZ102" s="227"/>
      <c r="BA102" s="210">
        <f>ROUND(AL100 + ((AL101-AL100) / (AB101-AB100)) * (D106-AB100),2)</f>
        <v>0.31</v>
      </c>
      <c r="BB102" s="211"/>
      <c r="BC102" s="211"/>
      <c r="BD102" s="211"/>
      <c r="BE102" s="211"/>
      <c r="BF102" s="212" t="s">
        <v>163</v>
      </c>
      <c r="BG102" s="212"/>
      <c r="BH102" s="213"/>
      <c r="BI102" s="87"/>
      <c r="BJ102" s="144" t="s">
        <v>171</v>
      </c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7"/>
      <c r="CR102" s="87"/>
      <c r="CS102" s="87"/>
      <c r="CT102" s="87"/>
      <c r="CU102" s="87"/>
      <c r="CV102" s="87"/>
      <c r="CW102" s="87"/>
      <c r="CX102" s="87"/>
      <c r="CY102" s="87"/>
      <c r="CZ102" s="87"/>
      <c r="DA102" s="87"/>
      <c r="DB102" s="119"/>
    </row>
    <row r="103" spans="1:106" s="88" customFormat="1" ht="12" customHeight="1">
      <c r="A103" s="286" t="s">
        <v>229</v>
      </c>
      <c r="B103" s="287"/>
      <c r="C103" s="287"/>
      <c r="D103" s="287"/>
      <c r="E103" s="287"/>
      <c r="F103" s="287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8"/>
      <c r="X103" s="208" t="s">
        <v>230</v>
      </c>
      <c r="Y103" s="209"/>
      <c r="Z103" s="209"/>
      <c r="AA103" s="44" t="s">
        <v>28</v>
      </c>
      <c r="AB103" s="276">
        <v>1.1000000000000001</v>
      </c>
      <c r="AC103" s="276"/>
      <c r="AD103" s="276"/>
      <c r="AE103" s="258" t="s">
        <v>184</v>
      </c>
      <c r="AF103" s="258"/>
      <c r="AG103" s="98" t="s">
        <v>28</v>
      </c>
      <c r="AH103" s="407">
        <v>60</v>
      </c>
      <c r="AI103" s="407"/>
      <c r="AJ103" s="407"/>
      <c r="AK103" s="248" t="s">
        <v>189</v>
      </c>
      <c r="AL103" s="248"/>
      <c r="AM103" s="44" t="s">
        <v>28</v>
      </c>
      <c r="AN103" s="226" t="str">
        <f>CONCATENATE("1 + (",AB103," - 1) x ",AH103," / ",D106)</f>
        <v>1 + (1,1 - 1) x 60 / 107</v>
      </c>
      <c r="AO103" s="226"/>
      <c r="AP103" s="226"/>
      <c r="AQ103" s="226"/>
      <c r="AR103" s="226"/>
      <c r="AS103" s="226"/>
      <c r="AT103" s="226"/>
      <c r="AU103" s="226"/>
      <c r="AV103" s="226"/>
      <c r="AW103" s="226"/>
      <c r="AX103" s="226"/>
      <c r="AY103" s="226"/>
      <c r="AZ103" s="110" t="s">
        <v>28</v>
      </c>
      <c r="BA103" s="284">
        <f>ROUND(1 + (AB103 - 1) *(AH103 / D106),2)</f>
        <v>1.06</v>
      </c>
      <c r="BB103" s="285"/>
      <c r="BC103" s="285"/>
      <c r="BD103" s="285"/>
      <c r="BE103" s="285"/>
      <c r="BF103" s="100"/>
      <c r="BG103" s="100"/>
      <c r="BH103" s="101"/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119"/>
    </row>
    <row r="104" spans="1:106" s="88" customFormat="1" ht="12" customHeight="1">
      <c r="A104" s="286" t="s">
        <v>228</v>
      </c>
      <c r="B104" s="287"/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8"/>
      <c r="X104" s="208" t="s">
        <v>183</v>
      </c>
      <c r="Y104" s="209"/>
      <c r="Z104" s="209"/>
      <c r="AA104" s="44" t="s">
        <v>28</v>
      </c>
      <c r="AB104" s="276">
        <v>1.2</v>
      </c>
      <c r="AC104" s="276"/>
      <c r="AD104" s="276"/>
      <c r="AE104" s="258" t="s">
        <v>184</v>
      </c>
      <c r="AF104" s="258"/>
      <c r="AG104" s="98" t="s">
        <v>28</v>
      </c>
      <c r="AH104" s="407">
        <v>100</v>
      </c>
      <c r="AI104" s="407"/>
      <c r="AJ104" s="407"/>
      <c r="AK104" s="248" t="s">
        <v>189</v>
      </c>
      <c r="AL104" s="248"/>
      <c r="AM104" s="44" t="s">
        <v>28</v>
      </c>
      <c r="AN104" s="226" t="str">
        <f>CONCATENATE("1 + (1 - ",AB104,") x ",AH104," / ",D106)</f>
        <v>1 + (1 - 1,2) x 100 / 107</v>
      </c>
      <c r="AO104" s="226"/>
      <c r="AP104" s="226"/>
      <c r="AQ104" s="226"/>
      <c r="AR104" s="226"/>
      <c r="AS104" s="226"/>
      <c r="AT104" s="226"/>
      <c r="AU104" s="226"/>
      <c r="AV104" s="226"/>
      <c r="AW104" s="226"/>
      <c r="AX104" s="226"/>
      <c r="AY104" s="226"/>
      <c r="AZ104" s="110" t="s">
        <v>28</v>
      </c>
      <c r="BA104" s="284">
        <f>ROUND(1 + (AB104 - 1) *(AH104 / D106),2)</f>
        <v>1.19</v>
      </c>
      <c r="BB104" s="285"/>
      <c r="BC104" s="285"/>
      <c r="BD104" s="285"/>
      <c r="BE104" s="285"/>
      <c r="BF104" s="100"/>
      <c r="BG104" s="100"/>
      <c r="BH104" s="101"/>
      <c r="BI104" s="87"/>
      <c r="BJ104" s="151">
        <f>(1+(BA103-1)+(BA104-1))</f>
        <v>1.25</v>
      </c>
      <c r="BK104" s="87"/>
      <c r="BL104" s="87"/>
      <c r="BM104" s="87"/>
      <c r="BN104" s="87"/>
      <c r="BO104" s="87"/>
      <c r="BP104" s="87"/>
      <c r="BQ104" s="87"/>
      <c r="BR104" s="87"/>
      <c r="BS104" s="87"/>
      <c r="BT104" s="87"/>
      <c r="BU104" s="87"/>
      <c r="BV104" s="87"/>
      <c r="BW104" s="87"/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/>
      <c r="CI104" s="87"/>
      <c r="CJ104" s="87"/>
      <c r="CK104" s="87"/>
      <c r="CL104" s="87"/>
      <c r="CM104" s="87"/>
      <c r="CN104" s="87"/>
      <c r="CO104" s="87"/>
      <c r="CP104" s="87"/>
      <c r="CQ104" s="87"/>
      <c r="CR104" s="87"/>
      <c r="CS104" s="87"/>
      <c r="CT104" s="87"/>
      <c r="CU104" s="87"/>
      <c r="CV104" s="87"/>
      <c r="CW104" s="87"/>
      <c r="CX104" s="87"/>
      <c r="CY104" s="87"/>
      <c r="CZ104" s="87"/>
      <c r="DA104" s="87"/>
      <c r="DB104" s="119"/>
    </row>
    <row r="105" spans="1:106" s="88" customFormat="1" ht="12" customHeight="1">
      <c r="A105" s="129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1"/>
      <c r="X105" s="224" t="s">
        <v>190</v>
      </c>
      <c r="Y105" s="225"/>
      <c r="Z105" s="225"/>
      <c r="AA105" s="94" t="s">
        <v>28</v>
      </c>
      <c r="AB105" s="226" t="str">
        <f>CONCATENATE(BA102," x [1 + (",BA103," - 1) + (",BA104," - 1)] = ",BA102," x ",BJ104," = ")</f>
        <v xml:space="preserve">0,31 x [1 + (1,06 - 1) + (1,19 - 1)] = 0,31 x 1,25 = </v>
      </c>
      <c r="AC105" s="226"/>
      <c r="AD105" s="226"/>
      <c r="AE105" s="226"/>
      <c r="AF105" s="226"/>
      <c r="AG105" s="226"/>
      <c r="AH105" s="226"/>
      <c r="AI105" s="226"/>
      <c r="AJ105" s="226"/>
      <c r="AK105" s="226"/>
      <c r="AL105" s="226"/>
      <c r="AM105" s="226"/>
      <c r="AN105" s="226"/>
      <c r="AO105" s="226"/>
      <c r="AP105" s="226"/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7"/>
      <c r="BA105" s="210">
        <f>ROUND(BA102*BJ104,2)</f>
        <v>0.39</v>
      </c>
      <c r="BB105" s="211"/>
      <c r="BC105" s="211"/>
      <c r="BD105" s="211"/>
      <c r="BE105" s="211"/>
      <c r="BF105" s="212" t="s">
        <v>163</v>
      </c>
      <c r="BG105" s="212"/>
      <c r="BH105" s="213"/>
      <c r="BI105" s="87"/>
      <c r="BJ105" s="144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/>
      <c r="BU105" s="87"/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87"/>
      <c r="CJ105" s="87"/>
      <c r="CK105" s="87"/>
      <c r="CL105" s="87"/>
      <c r="CM105" s="87"/>
      <c r="CN105" s="87"/>
      <c r="CO105" s="87"/>
      <c r="CP105" s="87"/>
      <c r="CQ105" s="87"/>
      <c r="CR105" s="87"/>
      <c r="CS105" s="87"/>
      <c r="CT105" s="87"/>
      <c r="CU105" s="87"/>
      <c r="CV105" s="87"/>
      <c r="CW105" s="87"/>
      <c r="CX105" s="87"/>
      <c r="CY105" s="87"/>
      <c r="CZ105" s="87"/>
      <c r="DA105" s="87"/>
      <c r="DB105" s="119"/>
    </row>
    <row r="106" spans="1:106" s="88" customFormat="1" ht="12" customHeight="1">
      <c r="A106" s="214" t="s">
        <v>170</v>
      </c>
      <c r="B106" s="215"/>
      <c r="C106" s="113" t="s">
        <v>28</v>
      </c>
      <c r="D106" s="216">
        <v>107</v>
      </c>
      <c r="E106" s="216"/>
      <c r="F106" s="216"/>
      <c r="G106" s="216"/>
      <c r="H106" s="216"/>
      <c r="I106" s="218" t="s">
        <v>235</v>
      </c>
      <c r="J106" s="218"/>
      <c r="K106" s="218"/>
      <c r="L106" s="218"/>
      <c r="M106" s="218"/>
      <c r="N106" s="218"/>
      <c r="O106" s="120"/>
      <c r="P106" s="120"/>
      <c r="Q106" s="120"/>
      <c r="R106" s="215"/>
      <c r="S106" s="215"/>
      <c r="T106" s="113"/>
      <c r="U106" s="217"/>
      <c r="V106" s="218"/>
      <c r="W106" s="219"/>
      <c r="X106" s="220" t="s">
        <v>162</v>
      </c>
      <c r="Y106" s="221"/>
      <c r="Z106" s="221"/>
      <c r="AA106" s="97" t="s">
        <v>28</v>
      </c>
      <c r="AB106" s="222" t="str">
        <f ca="1">CONCATENATE(BA105," x ",$AO$17," x ", AP99," x [1 + 0,5 x (",AW99," - 1)]  = ")</f>
        <v xml:space="preserve">0,39 x 307,7 x 1,0521 x [1 + 0,5 x (1,0307 - 1)]  = </v>
      </c>
      <c r="AC106" s="222"/>
      <c r="AD106" s="222"/>
      <c r="AE106" s="222"/>
      <c r="AF106" s="222"/>
      <c r="AG106" s="222"/>
      <c r="AH106" s="222"/>
      <c r="AI106" s="222"/>
      <c r="AJ106" s="222"/>
      <c r="AK106" s="222"/>
      <c r="AL106" s="222"/>
      <c r="AM106" s="222"/>
      <c r="AN106" s="222"/>
      <c r="AO106" s="222"/>
      <c r="AP106" s="222"/>
      <c r="AQ106" s="222"/>
      <c r="AR106" s="222"/>
      <c r="AS106" s="222"/>
      <c r="AT106" s="222"/>
      <c r="AU106" s="222"/>
      <c r="AV106" s="222"/>
      <c r="AW106" s="222"/>
      <c r="AX106" s="222"/>
      <c r="AY106" s="222"/>
      <c r="AZ106" s="223"/>
      <c r="BA106" s="268">
        <f ca="1">ROUND(BA105*$AO$17*AP99*(1+0.5*(AW99-1)),2)</f>
        <v>128.19</v>
      </c>
      <c r="BB106" s="269"/>
      <c r="BC106" s="269"/>
      <c r="BD106" s="269"/>
      <c r="BE106" s="269"/>
      <c r="BF106" s="270" t="s">
        <v>23</v>
      </c>
      <c r="BG106" s="270"/>
      <c r="BH106" s="271"/>
      <c r="BI106" s="87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  <c r="BU106" s="87"/>
      <c r="BV106" s="87"/>
      <c r="BW106" s="87"/>
      <c r="BX106" s="87"/>
      <c r="BY106" s="87"/>
      <c r="BZ106" s="87"/>
      <c r="CA106" s="87"/>
      <c r="CB106" s="87"/>
      <c r="CC106" s="87"/>
      <c r="CD106" s="87"/>
      <c r="CE106" s="87"/>
      <c r="CF106" s="87"/>
      <c r="CG106" s="87"/>
      <c r="CH106" s="87"/>
      <c r="CI106" s="87"/>
      <c r="CJ106" s="87"/>
      <c r="CK106" s="87"/>
      <c r="CL106" s="87"/>
      <c r="CM106" s="87"/>
      <c r="CN106" s="87"/>
      <c r="CO106" s="87"/>
      <c r="CP106" s="87"/>
      <c r="CQ106" s="87"/>
      <c r="CR106" s="87"/>
      <c r="CS106" s="87"/>
      <c r="CT106" s="87"/>
      <c r="CU106" s="87"/>
      <c r="CV106" s="87"/>
      <c r="CW106" s="87"/>
      <c r="CX106" s="87"/>
      <c r="CY106" s="87"/>
      <c r="CZ106" s="87"/>
      <c r="DA106" s="87"/>
      <c r="DB106" s="119"/>
    </row>
    <row r="107" spans="1:106" s="88" customFormat="1" ht="12" customHeight="1">
      <c r="A107" s="241" t="s">
        <v>240</v>
      </c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242"/>
      <c r="O107" s="242"/>
      <c r="P107" s="242"/>
      <c r="Q107" s="242"/>
      <c r="R107" s="242"/>
      <c r="S107" s="242"/>
      <c r="T107" s="242"/>
      <c r="U107" s="242"/>
      <c r="V107" s="242"/>
      <c r="W107" s="243"/>
      <c r="X107" s="244" t="s">
        <v>45</v>
      </c>
      <c r="Y107" s="245"/>
      <c r="Z107" s="245"/>
      <c r="AA107" s="245"/>
      <c r="AB107" s="253">
        <f ca="1">график!C16</f>
        <v>45292</v>
      </c>
      <c r="AC107" s="246"/>
      <c r="AD107" s="246"/>
      <c r="AE107" s="246"/>
      <c r="AF107" s="246"/>
      <c r="AG107" s="93" t="s">
        <v>1</v>
      </c>
      <c r="AH107" s="254">
        <f ca="1">график!E16</f>
        <v>45383</v>
      </c>
      <c r="AI107" s="247"/>
      <c r="AJ107" s="247"/>
      <c r="AK107" s="247"/>
      <c r="AL107" s="247"/>
      <c r="AM107" s="255" t="s">
        <v>158</v>
      </c>
      <c r="AN107" s="255"/>
      <c r="AO107" s="91" t="s">
        <v>28</v>
      </c>
      <c r="AP107" s="256">
        <f ca="1">график!F16</f>
        <v>1.0521</v>
      </c>
      <c r="AQ107" s="256"/>
      <c r="AR107" s="256"/>
      <c r="AS107" s="256"/>
      <c r="AT107" s="255" t="s">
        <v>159</v>
      </c>
      <c r="AU107" s="255"/>
      <c r="AV107" s="91" t="s">
        <v>28</v>
      </c>
      <c r="AW107" s="228">
        <f ca="1">график!G16</f>
        <v>1.0306999999999999</v>
      </c>
      <c r="AX107" s="228"/>
      <c r="AY107" s="228"/>
      <c r="AZ107" s="229"/>
      <c r="BA107" s="230"/>
      <c r="BB107" s="231"/>
      <c r="BC107" s="231"/>
      <c r="BD107" s="231"/>
      <c r="BE107" s="231"/>
      <c r="BF107" s="231"/>
      <c r="BG107" s="231"/>
      <c r="BH107" s="232"/>
      <c r="BI107" s="87"/>
      <c r="BJ107" s="87"/>
      <c r="BK107" s="87"/>
      <c r="BL107" s="87"/>
      <c r="BM107" s="87"/>
      <c r="BN107" s="87"/>
      <c r="BO107" s="87"/>
      <c r="BP107" s="87"/>
      <c r="BQ107" s="87"/>
      <c r="BR107" s="87"/>
      <c r="BS107" s="87"/>
      <c r="BT107" s="87"/>
      <c r="BU107" s="87"/>
      <c r="BV107" s="87"/>
      <c r="BW107" s="87"/>
      <c r="BX107" s="87"/>
      <c r="BY107" s="87"/>
      <c r="BZ107" s="87"/>
      <c r="CA107" s="87"/>
      <c r="CB107" s="87"/>
      <c r="CC107" s="87"/>
      <c r="CD107" s="87"/>
      <c r="CE107" s="87"/>
      <c r="CF107" s="87"/>
      <c r="CG107" s="87"/>
      <c r="CH107" s="87"/>
      <c r="CI107" s="87"/>
      <c r="CJ107" s="87"/>
      <c r="CK107" s="87"/>
      <c r="CL107" s="87"/>
      <c r="CM107" s="87"/>
      <c r="CN107" s="87"/>
      <c r="CO107" s="87"/>
      <c r="CP107" s="87"/>
      <c r="CQ107" s="87"/>
      <c r="CR107" s="87"/>
      <c r="CS107" s="87"/>
      <c r="CT107" s="87"/>
      <c r="CU107" s="87"/>
      <c r="CV107" s="87"/>
      <c r="CW107" s="87"/>
      <c r="CX107" s="87"/>
      <c r="CY107" s="87"/>
      <c r="CZ107" s="87"/>
      <c r="DA107" s="87"/>
      <c r="DB107" s="119"/>
    </row>
    <row r="108" spans="1:106" s="88" customFormat="1" ht="12" customHeight="1">
      <c r="A108" s="273" t="s">
        <v>232</v>
      </c>
      <c r="B108" s="274"/>
      <c r="C108" s="274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5"/>
      <c r="X108" s="208" t="s">
        <v>39</v>
      </c>
      <c r="Y108" s="209"/>
      <c r="Z108" s="209"/>
      <c r="AA108" s="44" t="s">
        <v>28</v>
      </c>
      <c r="AB108" s="276">
        <v>0.5</v>
      </c>
      <c r="AC108" s="276"/>
      <c r="AD108" s="276"/>
      <c r="AE108" s="276"/>
      <c r="AF108" s="248" t="s">
        <v>40</v>
      </c>
      <c r="AG108" s="209"/>
      <c r="AH108" s="209"/>
      <c r="AI108" s="209"/>
      <c r="AJ108" s="209"/>
      <c r="AK108" s="44" t="s">
        <v>28</v>
      </c>
      <c r="AL108" s="289">
        <v>1</v>
      </c>
      <c r="AM108" s="290"/>
      <c r="AN108" s="290"/>
      <c r="AO108" s="290"/>
      <c r="AP108" s="290"/>
      <c r="AQ108" s="258"/>
      <c r="AR108" s="258"/>
      <c r="AS108" s="272"/>
      <c r="AT108" s="272"/>
      <c r="AU108" s="272"/>
      <c r="AV108" s="98"/>
      <c r="AW108" s="263"/>
      <c r="AX108" s="226"/>
      <c r="AY108" s="226"/>
      <c r="AZ108" s="227"/>
      <c r="BA108" s="210"/>
      <c r="BB108" s="211"/>
      <c r="BC108" s="211"/>
      <c r="BD108" s="211"/>
      <c r="BE108" s="211"/>
      <c r="BF108" s="212"/>
      <c r="BG108" s="212"/>
      <c r="BH108" s="213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119"/>
    </row>
    <row r="109" spans="1:106" s="88" customFormat="1" ht="12" customHeight="1">
      <c r="A109" s="273"/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5"/>
      <c r="X109" s="208" t="s">
        <v>43</v>
      </c>
      <c r="Y109" s="209"/>
      <c r="Z109" s="209"/>
      <c r="AA109" s="44" t="s">
        <v>28</v>
      </c>
      <c r="AB109" s="226">
        <v>1</v>
      </c>
      <c r="AC109" s="226"/>
      <c r="AD109" s="226"/>
      <c r="AE109" s="226"/>
      <c r="AF109" s="248" t="s">
        <v>44</v>
      </c>
      <c r="AG109" s="209"/>
      <c r="AH109" s="209"/>
      <c r="AI109" s="209"/>
      <c r="AJ109" s="209"/>
      <c r="AK109" s="44" t="s">
        <v>28</v>
      </c>
      <c r="AL109" s="289">
        <v>1.9</v>
      </c>
      <c r="AM109" s="290"/>
      <c r="AN109" s="290"/>
      <c r="AO109" s="290"/>
      <c r="AP109" s="290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35"/>
      <c r="BA109" s="210"/>
      <c r="BB109" s="211"/>
      <c r="BC109" s="211"/>
      <c r="BD109" s="211"/>
      <c r="BE109" s="211"/>
      <c r="BF109" s="212"/>
      <c r="BG109" s="212"/>
      <c r="BH109" s="213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7"/>
      <c r="CE109" s="87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7"/>
      <c r="CR109" s="87"/>
      <c r="CS109" s="87"/>
      <c r="CT109" s="87"/>
      <c r="CU109" s="87"/>
      <c r="CV109" s="87"/>
      <c r="CW109" s="87"/>
      <c r="CX109" s="87"/>
      <c r="CY109" s="87"/>
      <c r="CZ109" s="87"/>
      <c r="DA109" s="87"/>
      <c r="DB109" s="119"/>
    </row>
    <row r="110" spans="1:106" s="88" customFormat="1" ht="12" customHeight="1">
      <c r="A110" s="273"/>
      <c r="B110" s="274"/>
      <c r="C110" s="274"/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5"/>
      <c r="X110" s="224" t="s">
        <v>22</v>
      </c>
      <c r="Y110" s="225"/>
      <c r="Z110" s="225"/>
      <c r="AA110" s="94" t="s">
        <v>28</v>
      </c>
      <c r="AB110" s="226" t="str">
        <f>CONCATENATE(AL108," + [(",AL109," - ", AL108,") / (",AB109," - ", AB108,")] x (",D111," - ",AB108,")  = ")</f>
        <v xml:space="preserve">1 + [(1,9 - 1) / (1 - 0,5)] x (0,79 - 0,5)  = </v>
      </c>
      <c r="AC110" s="226"/>
      <c r="AD110" s="226"/>
      <c r="AE110" s="226"/>
      <c r="AF110" s="226"/>
      <c r="AG110" s="226"/>
      <c r="AH110" s="226"/>
      <c r="AI110" s="226"/>
      <c r="AJ110" s="226"/>
      <c r="AK110" s="226"/>
      <c r="AL110" s="226"/>
      <c r="AM110" s="226"/>
      <c r="AN110" s="226"/>
      <c r="AO110" s="226"/>
      <c r="AP110" s="226"/>
      <c r="AQ110" s="226"/>
      <c r="AR110" s="226"/>
      <c r="AS110" s="226"/>
      <c r="AT110" s="226"/>
      <c r="AU110" s="226"/>
      <c r="AV110" s="226"/>
      <c r="AW110" s="226"/>
      <c r="AX110" s="226"/>
      <c r="AY110" s="226"/>
      <c r="AZ110" s="227"/>
      <c r="BA110" s="210">
        <f>ROUND(AL108 + ((AL109-AL108) / (AB109-AB108)) * (D111-AB108),2)</f>
        <v>1.52</v>
      </c>
      <c r="BB110" s="211"/>
      <c r="BC110" s="211"/>
      <c r="BD110" s="211"/>
      <c r="BE110" s="211"/>
      <c r="BF110" s="212" t="s">
        <v>163</v>
      </c>
      <c r="BG110" s="212"/>
      <c r="BH110" s="213"/>
      <c r="BI110" s="87"/>
      <c r="BJ110" s="144" t="s">
        <v>171</v>
      </c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  <c r="BV110" s="87"/>
      <c r="BW110" s="87"/>
      <c r="BX110" s="87"/>
      <c r="BY110" s="87"/>
      <c r="BZ110" s="87"/>
      <c r="CA110" s="87"/>
      <c r="CB110" s="87"/>
      <c r="CC110" s="87"/>
      <c r="CD110" s="87"/>
      <c r="CE110" s="87"/>
      <c r="CF110" s="87"/>
      <c r="CG110" s="87"/>
      <c r="CH110" s="87"/>
      <c r="CI110" s="87"/>
      <c r="CJ110" s="87"/>
      <c r="CK110" s="87"/>
      <c r="CL110" s="87"/>
      <c r="CM110" s="87"/>
      <c r="CN110" s="87"/>
      <c r="CO110" s="87"/>
      <c r="CP110" s="87"/>
      <c r="CQ110" s="87"/>
      <c r="CR110" s="87"/>
      <c r="CS110" s="87"/>
      <c r="CT110" s="87"/>
      <c r="CU110" s="87"/>
      <c r="CV110" s="87"/>
      <c r="CW110" s="87"/>
      <c r="CX110" s="87"/>
      <c r="CY110" s="87"/>
      <c r="CZ110" s="87"/>
      <c r="DA110" s="87"/>
      <c r="DB110" s="119"/>
    </row>
    <row r="111" spans="1:106" s="88" customFormat="1" ht="12" customHeight="1">
      <c r="A111" s="214" t="s">
        <v>170</v>
      </c>
      <c r="B111" s="215"/>
      <c r="C111" s="113" t="s">
        <v>28</v>
      </c>
      <c r="D111" s="305">
        <v>0.79</v>
      </c>
      <c r="E111" s="305"/>
      <c r="F111" s="305"/>
      <c r="G111" s="305"/>
      <c r="H111" s="305"/>
      <c r="I111" s="218" t="s">
        <v>236</v>
      </c>
      <c r="J111" s="218"/>
      <c r="K111" s="218"/>
      <c r="L111" s="218"/>
      <c r="M111" s="218"/>
      <c r="N111" s="218"/>
      <c r="O111" s="120"/>
      <c r="P111" s="120"/>
      <c r="Q111" s="120"/>
      <c r="R111" s="215"/>
      <c r="S111" s="215"/>
      <c r="T111" s="113"/>
      <c r="U111" s="217"/>
      <c r="V111" s="218"/>
      <c r="W111" s="219"/>
      <c r="X111" s="220" t="s">
        <v>162</v>
      </c>
      <c r="Y111" s="221"/>
      <c r="Z111" s="221"/>
      <c r="AA111" s="97" t="s">
        <v>28</v>
      </c>
      <c r="AB111" s="222" t="str">
        <f ca="1">CONCATENATE(BA110," x ",$AO$17," x ", AP107," x [1 + 0,5 x (",AW107," - 1)]  = ")</f>
        <v xml:space="preserve">1,52 x 307,7 x 1,0521 x [1 + 0,5 x (1,0307 - 1)]  = </v>
      </c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2"/>
      <c r="AO111" s="222"/>
      <c r="AP111" s="222"/>
      <c r="AQ111" s="222"/>
      <c r="AR111" s="222"/>
      <c r="AS111" s="222"/>
      <c r="AT111" s="222"/>
      <c r="AU111" s="222"/>
      <c r="AV111" s="222"/>
      <c r="AW111" s="222"/>
      <c r="AX111" s="222"/>
      <c r="AY111" s="222"/>
      <c r="AZ111" s="223"/>
      <c r="BA111" s="268">
        <f ca="1">ROUND(BA110*$AO$17*AP107*(1+0.5*(AW107-1)),2)</f>
        <v>499.62</v>
      </c>
      <c r="BB111" s="269"/>
      <c r="BC111" s="269"/>
      <c r="BD111" s="269"/>
      <c r="BE111" s="269"/>
      <c r="BF111" s="270" t="s">
        <v>23</v>
      </c>
      <c r="BG111" s="270"/>
      <c r="BH111" s="271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  <c r="BX111" s="87"/>
      <c r="BY111" s="87"/>
      <c r="BZ111" s="87"/>
      <c r="CA111" s="87"/>
      <c r="CB111" s="87"/>
      <c r="CC111" s="87"/>
      <c r="CD111" s="87"/>
      <c r="CE111" s="87"/>
      <c r="CF111" s="87"/>
      <c r="CG111" s="87"/>
      <c r="CH111" s="87"/>
      <c r="CI111" s="87"/>
      <c r="CJ111" s="87"/>
      <c r="CK111" s="87"/>
      <c r="CL111" s="87"/>
      <c r="CM111" s="87"/>
      <c r="CN111" s="87"/>
      <c r="CO111" s="87"/>
      <c r="CP111" s="87"/>
      <c r="CQ111" s="87"/>
      <c r="CR111" s="87"/>
      <c r="CS111" s="87"/>
      <c r="CT111" s="87"/>
      <c r="CU111" s="87"/>
      <c r="CV111" s="87"/>
      <c r="CW111" s="87"/>
      <c r="CX111" s="87"/>
      <c r="CY111" s="87"/>
      <c r="CZ111" s="87"/>
      <c r="DA111" s="87"/>
      <c r="DB111" s="119"/>
    </row>
    <row r="112" spans="1:106" ht="12" customHeight="1">
      <c r="A112" s="136" t="s">
        <v>191</v>
      </c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8"/>
      <c r="AL112" s="138"/>
      <c r="AM112" s="138"/>
      <c r="AN112" s="138"/>
      <c r="AO112" s="138"/>
      <c r="AP112" s="138"/>
      <c r="AQ112" s="139"/>
      <c r="AR112" s="140"/>
      <c r="AS112" s="139"/>
      <c r="AT112" s="139"/>
      <c r="AU112" s="139"/>
      <c r="AV112" s="139"/>
      <c r="AW112" s="267" t="s">
        <v>22</v>
      </c>
      <c r="AX112" s="267"/>
      <c r="AY112" s="267"/>
      <c r="AZ112" s="141" t="s">
        <v>28</v>
      </c>
      <c r="BA112" s="259">
        <f>BA97+BA105+BA110</f>
        <v>19.63</v>
      </c>
      <c r="BB112" s="259"/>
      <c r="BC112" s="259"/>
      <c r="BD112" s="259"/>
      <c r="BE112" s="259"/>
      <c r="BF112" s="142" t="s">
        <v>163</v>
      </c>
      <c r="BG112" s="142"/>
      <c r="BH112" s="143"/>
    </row>
    <row r="113" spans="1:106" s="88" customFormat="1" ht="12" customHeight="1">
      <c r="A113" s="264" t="s">
        <v>160</v>
      </c>
      <c r="B113" s="265"/>
      <c r="C113" s="265"/>
      <c r="D113" s="265"/>
      <c r="E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5"/>
      <c r="X113" s="111"/>
      <c r="Y113" s="111"/>
      <c r="Z113" s="111"/>
      <c r="AA113" s="111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5"/>
      <c r="AU113" s="115"/>
      <c r="AV113" s="116"/>
      <c r="AW113" s="266" t="s">
        <v>167</v>
      </c>
      <c r="AX113" s="266"/>
      <c r="AY113" s="266"/>
      <c r="AZ113" s="112" t="s">
        <v>28</v>
      </c>
      <c r="BA113" s="260">
        <f ca="1">BA98+BA106+BA111</f>
        <v>6452.3799999999992</v>
      </c>
      <c r="BB113" s="260"/>
      <c r="BC113" s="260"/>
      <c r="BD113" s="260"/>
      <c r="BE113" s="260"/>
      <c r="BF113" s="261" t="s">
        <v>23</v>
      </c>
      <c r="BG113" s="261"/>
      <c r="BH113" s="262"/>
      <c r="BI113" s="87"/>
      <c r="BJ113" s="87"/>
      <c r="BK113" s="87"/>
      <c r="BL113" s="87"/>
      <c r="BM113" s="87"/>
      <c r="BN113" s="87"/>
      <c r="BO113" s="87"/>
      <c r="BP113" s="87"/>
      <c r="BQ113" s="87"/>
      <c r="BR113" s="87"/>
      <c r="BS113" s="87"/>
      <c r="BT113" s="87"/>
      <c r="BU113" s="87"/>
      <c r="BV113" s="87"/>
      <c r="BW113" s="87"/>
      <c r="BX113" s="87"/>
      <c r="BY113" s="87"/>
      <c r="BZ113" s="87"/>
      <c r="CA113" s="87"/>
      <c r="CB113" s="87"/>
      <c r="CC113" s="87"/>
      <c r="CD113" s="87"/>
      <c r="CE113" s="87"/>
      <c r="CF113" s="87"/>
      <c r="CG113" s="87"/>
      <c r="CH113" s="87"/>
      <c r="CI113" s="87"/>
      <c r="CJ113" s="87"/>
      <c r="CK113" s="87"/>
      <c r="CL113" s="87"/>
      <c r="CM113" s="87"/>
      <c r="CN113" s="87"/>
      <c r="CO113" s="87"/>
      <c r="CP113" s="87"/>
      <c r="CQ113" s="87"/>
      <c r="CR113" s="87"/>
      <c r="CS113" s="87"/>
      <c r="CT113" s="87"/>
      <c r="CU113" s="87"/>
      <c r="CV113" s="87"/>
      <c r="CW113" s="87"/>
      <c r="CX113" s="87"/>
      <c r="CY113" s="87"/>
      <c r="CZ113" s="87"/>
      <c r="DA113" s="87"/>
      <c r="DB113" s="119"/>
    </row>
    <row r="114" spans="1:106" s="1" customFormat="1" ht="13.5" customHeight="1">
      <c r="A114" s="249" t="str">
        <f ca="1">график!A17</f>
        <v>5</v>
      </c>
      <c r="B114" s="250"/>
      <c r="C114" s="236" t="str">
        <f ca="1">график!B17</f>
        <v>УСЛУГИ ПО ОСВОЕНИЮ СТРОИТЕЛЬНОЙ ПЛОЩАДКИ</v>
      </c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  <c r="V114" s="237"/>
      <c r="W114" s="237"/>
      <c r="X114" s="237"/>
      <c r="Y114" s="237"/>
      <c r="Z114" s="237"/>
      <c r="AA114" s="237"/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37"/>
      <c r="AL114" s="237"/>
      <c r="AM114" s="237"/>
      <c r="AN114" s="237"/>
      <c r="AO114" s="237"/>
      <c r="AP114" s="237"/>
      <c r="AQ114" s="237"/>
      <c r="AR114" s="237"/>
      <c r="AS114" s="237"/>
      <c r="AT114" s="237"/>
      <c r="AU114" s="237"/>
      <c r="AV114" s="237"/>
      <c r="AW114" s="237"/>
      <c r="AX114" s="237"/>
      <c r="AY114" s="237"/>
      <c r="AZ114" s="237"/>
      <c r="BA114" s="237"/>
      <c r="BB114" s="237"/>
      <c r="BC114" s="237"/>
      <c r="BD114" s="237"/>
      <c r="BE114" s="237"/>
      <c r="BF114" s="237"/>
      <c r="BG114" s="237"/>
      <c r="BH114" s="238"/>
      <c r="BI114" s="87"/>
    </row>
    <row r="115" spans="1:106" s="90" customFormat="1" ht="12" customHeight="1">
      <c r="A115" s="239" t="str">
        <f ca="1">график!A18</f>
        <v>5.1</v>
      </c>
      <c r="B115" s="240"/>
      <c r="C115" s="205" t="str">
        <f ca="1">график!B18</f>
        <v>организация сноса и разборки существующих зданий и сооружений</v>
      </c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05"/>
      <c r="X115" s="205"/>
      <c r="Y115" s="205"/>
      <c r="Z115" s="205"/>
      <c r="AA115" s="205"/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05"/>
      <c r="AL115" s="205"/>
      <c r="AM115" s="205"/>
      <c r="AN115" s="205"/>
      <c r="AO115" s="205"/>
      <c r="AP115" s="205"/>
      <c r="AQ115" s="205"/>
      <c r="AR115" s="205"/>
      <c r="AS115" s="205"/>
      <c r="AT115" s="205"/>
      <c r="AU115" s="205"/>
      <c r="AV115" s="205"/>
      <c r="AW115" s="205"/>
      <c r="AX115" s="205"/>
      <c r="AY115" s="205"/>
      <c r="AZ115" s="205"/>
      <c r="BA115" s="251" t="s">
        <v>245</v>
      </c>
      <c r="BB115" s="251"/>
      <c r="BC115" s="251"/>
      <c r="BD115" s="251"/>
      <c r="BE115" s="251"/>
      <c r="BF115" s="251"/>
      <c r="BG115" s="251"/>
      <c r="BH115" s="252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117"/>
      <c r="BT115" s="117"/>
      <c r="BU115" s="117"/>
      <c r="BV115" s="117"/>
      <c r="BW115" s="117"/>
      <c r="BX115" s="117"/>
      <c r="BY115" s="117"/>
      <c r="BZ115" s="117"/>
      <c r="CA115" s="117"/>
      <c r="CB115" s="117"/>
      <c r="CC115" s="117"/>
      <c r="CD115" s="117"/>
      <c r="CE115" s="117"/>
      <c r="CF115" s="117"/>
      <c r="CG115" s="117"/>
      <c r="CH115" s="117"/>
      <c r="CI115" s="117"/>
      <c r="CJ115" s="117"/>
      <c r="CK115" s="117"/>
      <c r="CL115" s="117"/>
      <c r="CM115" s="117"/>
      <c r="CN115" s="117"/>
      <c r="CO115" s="117"/>
      <c r="CP115" s="117"/>
      <c r="CQ115" s="117"/>
      <c r="CR115" s="117"/>
      <c r="CS115" s="117"/>
      <c r="CT115" s="117"/>
      <c r="CU115" s="117"/>
      <c r="CV115" s="117"/>
      <c r="CW115" s="117"/>
      <c r="CX115" s="117"/>
      <c r="CY115" s="117"/>
      <c r="CZ115" s="117"/>
      <c r="DA115" s="117"/>
      <c r="DB115" s="118"/>
    </row>
    <row r="116" spans="1:106" s="88" customFormat="1" ht="12" customHeight="1">
      <c r="A116" s="241" t="s">
        <v>192</v>
      </c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3"/>
      <c r="X116" s="244" t="s">
        <v>45</v>
      </c>
      <c r="Y116" s="245"/>
      <c r="Z116" s="245"/>
      <c r="AA116" s="245"/>
      <c r="AB116" s="253">
        <f ca="1">график!C18</f>
        <v>45413</v>
      </c>
      <c r="AC116" s="246"/>
      <c r="AD116" s="246"/>
      <c r="AE116" s="246"/>
      <c r="AF116" s="246"/>
      <c r="AG116" s="93" t="s">
        <v>1</v>
      </c>
      <c r="AH116" s="254">
        <f ca="1">график!E18</f>
        <v>45413</v>
      </c>
      <c r="AI116" s="247"/>
      <c r="AJ116" s="247"/>
      <c r="AK116" s="247"/>
      <c r="AL116" s="247"/>
      <c r="AM116" s="255" t="s">
        <v>158</v>
      </c>
      <c r="AN116" s="255"/>
      <c r="AO116" s="91" t="s">
        <v>28</v>
      </c>
      <c r="AP116" s="256">
        <f ca="1">график!F18</f>
        <v>1.0844</v>
      </c>
      <c r="AQ116" s="256"/>
      <c r="AR116" s="256"/>
      <c r="AS116" s="256"/>
      <c r="AT116" s="255" t="s">
        <v>159</v>
      </c>
      <c r="AU116" s="255"/>
      <c r="AV116" s="91" t="s">
        <v>28</v>
      </c>
      <c r="AW116" s="228">
        <f ca="1">график!G18</f>
        <v>1.0076000000000001</v>
      </c>
      <c r="AX116" s="228"/>
      <c r="AY116" s="228"/>
      <c r="AZ116" s="229"/>
      <c r="BA116" s="401"/>
      <c r="BB116" s="402"/>
      <c r="BC116" s="402"/>
      <c r="BD116" s="402"/>
      <c r="BE116" s="402"/>
      <c r="BF116" s="402"/>
      <c r="BG116" s="402"/>
      <c r="BH116" s="403"/>
      <c r="BI116" s="87"/>
      <c r="BJ116" s="87"/>
      <c r="BK116" s="87"/>
      <c r="BL116" s="87"/>
      <c r="BM116" s="87"/>
      <c r="BN116" s="87"/>
      <c r="BO116" s="87"/>
      <c r="BP116" s="87"/>
      <c r="BQ116" s="87"/>
      <c r="BR116" s="87"/>
      <c r="BS116" s="87"/>
      <c r="BT116" s="87"/>
      <c r="BU116" s="87"/>
      <c r="BV116" s="87"/>
      <c r="BW116" s="87"/>
      <c r="BX116" s="87"/>
      <c r="BY116" s="87"/>
      <c r="BZ116" s="87"/>
      <c r="CA116" s="87"/>
      <c r="CB116" s="87"/>
      <c r="CC116" s="87"/>
      <c r="CD116" s="87"/>
      <c r="CE116" s="87"/>
      <c r="CF116" s="87"/>
      <c r="CG116" s="87"/>
      <c r="CH116" s="87"/>
      <c r="CI116" s="87"/>
      <c r="CJ116" s="87"/>
      <c r="CK116" s="87"/>
      <c r="CL116" s="87"/>
      <c r="CM116" s="87"/>
      <c r="CN116" s="87"/>
      <c r="CO116" s="87"/>
      <c r="CP116" s="87"/>
      <c r="CQ116" s="87"/>
      <c r="CR116" s="87"/>
      <c r="CS116" s="87"/>
      <c r="CT116" s="87"/>
      <c r="CU116" s="87"/>
      <c r="CV116" s="87"/>
      <c r="CW116" s="87"/>
      <c r="CX116" s="87"/>
      <c r="CY116" s="87"/>
      <c r="CZ116" s="87"/>
      <c r="DA116" s="87"/>
      <c r="DB116" s="119"/>
    </row>
    <row r="117" spans="1:106" s="88" customFormat="1" ht="12" customHeight="1">
      <c r="A117" s="408" t="str">
        <f>B25</f>
        <v>Снос одноэтажного  жилого дома 105 м2 чистой площади</v>
      </c>
      <c r="B117" s="409"/>
      <c r="C117" s="409"/>
      <c r="D117" s="409"/>
      <c r="E117" s="409"/>
      <c r="F117" s="409"/>
      <c r="G117" s="409"/>
      <c r="H117" s="409"/>
      <c r="I117" s="409"/>
      <c r="J117" s="409"/>
      <c r="K117" s="409"/>
      <c r="L117" s="409"/>
      <c r="M117" s="409"/>
      <c r="N117" s="409"/>
      <c r="O117" s="409"/>
      <c r="P117" s="409"/>
      <c r="Q117" s="409"/>
      <c r="R117" s="409"/>
      <c r="S117" s="409"/>
      <c r="T117" s="409"/>
      <c r="U117" s="409"/>
      <c r="V117" s="409"/>
      <c r="W117" s="410"/>
      <c r="X117" s="208" t="s">
        <v>39</v>
      </c>
      <c r="Y117" s="209"/>
      <c r="Z117" s="209"/>
      <c r="AA117" s="44" t="s">
        <v>28</v>
      </c>
      <c r="AB117" s="258">
        <v>1.07</v>
      </c>
      <c r="AC117" s="258"/>
      <c r="AD117" s="258"/>
      <c r="AE117" s="258"/>
      <c r="AF117" s="248" t="s">
        <v>40</v>
      </c>
      <c r="AG117" s="209"/>
      <c r="AH117" s="209"/>
      <c r="AI117" s="209"/>
      <c r="AJ117" s="209"/>
      <c r="AK117" s="44" t="s">
        <v>28</v>
      </c>
      <c r="AL117" s="297">
        <v>0.12</v>
      </c>
      <c r="AM117" s="298"/>
      <c r="AN117" s="298"/>
      <c r="AO117" s="298"/>
      <c r="AP117" s="29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35"/>
      <c r="BA117" s="210"/>
      <c r="BB117" s="211"/>
      <c r="BC117" s="211"/>
      <c r="BD117" s="211"/>
      <c r="BE117" s="211"/>
      <c r="BF117" s="212"/>
      <c r="BG117" s="212"/>
      <c r="BH117" s="213"/>
      <c r="BI117" s="87"/>
      <c r="BJ117" s="87"/>
      <c r="BK117" s="87"/>
      <c r="BL117" s="87"/>
      <c r="BM117" s="87"/>
      <c r="BN117" s="87"/>
      <c r="BO117" s="87"/>
      <c r="BP117" s="87"/>
      <c r="BQ117" s="87"/>
      <c r="BR117" s="87"/>
      <c r="BS117" s="87"/>
      <c r="BT117" s="87"/>
      <c r="BU117" s="87"/>
      <c r="BV117" s="87"/>
      <c r="BW117" s="87"/>
      <c r="BX117" s="87"/>
      <c r="BY117" s="87"/>
      <c r="BZ117" s="87"/>
      <c r="CA117" s="87"/>
      <c r="CB117" s="87"/>
      <c r="CC117" s="87"/>
      <c r="CD117" s="87"/>
      <c r="CE117" s="87"/>
      <c r="CF117" s="87"/>
      <c r="CG117" s="87"/>
      <c r="CH117" s="87"/>
      <c r="CI117" s="87"/>
      <c r="CJ117" s="87"/>
      <c r="CK117" s="87"/>
      <c r="CL117" s="87"/>
      <c r="CM117" s="87"/>
      <c r="CN117" s="87"/>
      <c r="CO117" s="87"/>
      <c r="CP117" s="87"/>
      <c r="CQ117" s="87"/>
      <c r="CR117" s="87"/>
      <c r="CS117" s="87"/>
      <c r="CT117" s="87"/>
      <c r="CU117" s="87"/>
      <c r="CV117" s="87"/>
      <c r="CW117" s="87"/>
      <c r="CX117" s="87"/>
      <c r="CY117" s="87"/>
      <c r="CZ117" s="87"/>
      <c r="DA117" s="87"/>
      <c r="DB117" s="119"/>
    </row>
    <row r="118" spans="1:106" s="88" customFormat="1" ht="12" customHeight="1">
      <c r="A118" s="408"/>
      <c r="B118" s="409"/>
      <c r="C118" s="409"/>
      <c r="D118" s="409"/>
      <c r="E118" s="409"/>
      <c r="F118" s="409"/>
      <c r="G118" s="409"/>
      <c r="H118" s="409"/>
      <c r="I118" s="409"/>
      <c r="J118" s="409"/>
      <c r="K118" s="409"/>
      <c r="L118" s="409"/>
      <c r="M118" s="409"/>
      <c r="N118" s="409"/>
      <c r="O118" s="409"/>
      <c r="P118" s="409"/>
      <c r="Q118" s="409"/>
      <c r="R118" s="409"/>
      <c r="S118" s="409"/>
      <c r="T118" s="409"/>
      <c r="U118" s="409"/>
      <c r="V118" s="409"/>
      <c r="W118" s="410"/>
      <c r="X118" s="208" t="s">
        <v>41</v>
      </c>
      <c r="Y118" s="209"/>
      <c r="Z118" s="209"/>
      <c r="AA118" s="44" t="s">
        <v>28</v>
      </c>
      <c r="AB118" s="258">
        <v>35.15</v>
      </c>
      <c r="AC118" s="258"/>
      <c r="AD118" s="258"/>
      <c r="AE118" s="258"/>
      <c r="AF118" s="248" t="s">
        <v>42</v>
      </c>
      <c r="AG118" s="209"/>
      <c r="AH118" s="209"/>
      <c r="AI118" s="209"/>
      <c r="AJ118" s="209"/>
      <c r="AK118" s="44" t="s">
        <v>28</v>
      </c>
      <c r="AL118" s="289">
        <v>4</v>
      </c>
      <c r="AM118" s="290"/>
      <c r="AN118" s="290"/>
      <c r="AO118" s="290"/>
      <c r="AP118" s="290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35"/>
      <c r="BA118" s="210"/>
      <c r="BB118" s="211"/>
      <c r="BC118" s="211"/>
      <c r="BD118" s="211"/>
      <c r="BE118" s="211"/>
      <c r="BF118" s="212"/>
      <c r="BG118" s="212"/>
      <c r="BH118" s="213"/>
      <c r="BI118" s="87"/>
      <c r="BJ118" s="87"/>
      <c r="BK118" s="87"/>
      <c r="BL118" s="87"/>
      <c r="BM118" s="87"/>
      <c r="BN118" s="87"/>
      <c r="BO118" s="87"/>
      <c r="BP118" s="87"/>
      <c r="BQ118" s="87"/>
      <c r="BR118" s="87"/>
      <c r="BS118" s="87"/>
      <c r="BT118" s="87"/>
      <c r="BU118" s="87"/>
      <c r="BV118" s="87"/>
      <c r="BW118" s="87"/>
      <c r="BX118" s="87"/>
      <c r="BY118" s="87"/>
      <c r="BZ118" s="87"/>
      <c r="CA118" s="87"/>
      <c r="CB118" s="87"/>
      <c r="CC118" s="87"/>
      <c r="CD118" s="87"/>
      <c r="CE118" s="87"/>
      <c r="CF118" s="87"/>
      <c r="CG118" s="87"/>
      <c r="CH118" s="87"/>
      <c r="CI118" s="87"/>
      <c r="CJ118" s="87"/>
      <c r="CK118" s="87"/>
      <c r="CL118" s="87"/>
      <c r="CM118" s="87"/>
      <c r="CN118" s="87"/>
      <c r="CO118" s="87"/>
      <c r="CP118" s="87"/>
      <c r="CQ118" s="87"/>
      <c r="CR118" s="87"/>
      <c r="CS118" s="87"/>
      <c r="CT118" s="87"/>
      <c r="CU118" s="87"/>
      <c r="CV118" s="87"/>
      <c r="CW118" s="87"/>
      <c r="CX118" s="87"/>
      <c r="CY118" s="87"/>
      <c r="CZ118" s="87"/>
      <c r="DA118" s="87"/>
      <c r="DB118" s="119"/>
    </row>
    <row r="119" spans="1:106" s="88" customFormat="1" ht="12" customHeight="1">
      <c r="A119" s="408"/>
      <c r="B119" s="409"/>
      <c r="C119" s="409"/>
      <c r="D119" s="409"/>
      <c r="E119" s="409"/>
      <c r="F119" s="409"/>
      <c r="G119" s="409"/>
      <c r="H119" s="409"/>
      <c r="I119" s="409"/>
      <c r="J119" s="409"/>
      <c r="K119" s="409"/>
      <c r="L119" s="409"/>
      <c r="M119" s="409"/>
      <c r="N119" s="409"/>
      <c r="O119" s="409"/>
      <c r="P119" s="409"/>
      <c r="Q119" s="409"/>
      <c r="R119" s="409"/>
      <c r="S119" s="409"/>
      <c r="T119" s="409"/>
      <c r="U119" s="409"/>
      <c r="V119" s="409"/>
      <c r="W119" s="410"/>
      <c r="X119" s="224" t="s">
        <v>22</v>
      </c>
      <c r="Y119" s="225"/>
      <c r="Z119" s="225"/>
      <c r="AA119" s="94" t="s">
        <v>28</v>
      </c>
      <c r="AB119" s="226" t="str">
        <f>CONCATENATE(AL117," + [ (",AL118," - ", AL117,") / (",AB118," - ", AB117,") ] х (",D120," - ",AB117,") х 0,8 = ")</f>
        <v xml:space="preserve">0,12 + [ (4 - 0,12) / (35,15 - 1,07) ] х (14,32 - 1,07) х 0,8 = </v>
      </c>
      <c r="AC119" s="226"/>
      <c r="AD119" s="226"/>
      <c r="AE119" s="226"/>
      <c r="AF119" s="226"/>
      <c r="AG119" s="226"/>
      <c r="AH119" s="226"/>
      <c r="AI119" s="226"/>
      <c r="AJ119" s="226"/>
      <c r="AK119" s="226"/>
      <c r="AL119" s="226"/>
      <c r="AM119" s="226"/>
      <c r="AN119" s="226"/>
      <c r="AO119" s="226"/>
      <c r="AP119" s="226"/>
      <c r="AQ119" s="226"/>
      <c r="AR119" s="226"/>
      <c r="AS119" s="226"/>
      <c r="AT119" s="226"/>
      <c r="AU119" s="226"/>
      <c r="AV119" s="226"/>
      <c r="AW119" s="226"/>
      <c r="AX119" s="226"/>
      <c r="AY119" s="226"/>
      <c r="AZ119" s="227"/>
      <c r="BA119" s="210">
        <f>ROUND(AL117 - ((AL118-AL117) / (AB118-AB117)) * (AB117-D120) * 0.8,2)</f>
        <v>1.33</v>
      </c>
      <c r="BB119" s="211"/>
      <c r="BC119" s="211"/>
      <c r="BD119" s="211"/>
      <c r="BE119" s="211"/>
      <c r="BF119" s="212" t="s">
        <v>163</v>
      </c>
      <c r="BG119" s="212"/>
      <c r="BH119" s="213"/>
      <c r="BI119" s="87"/>
      <c r="BJ119" s="144" t="s">
        <v>194</v>
      </c>
      <c r="BK119" s="87"/>
      <c r="BL119" s="87"/>
      <c r="BM119" s="87"/>
      <c r="BN119" s="87"/>
      <c r="BO119" s="87"/>
      <c r="BP119" s="87"/>
      <c r="BQ119" s="87"/>
      <c r="BR119" s="87"/>
      <c r="BS119" s="87"/>
      <c r="BT119" s="87"/>
      <c r="BU119" s="87"/>
      <c r="BV119" s="87"/>
      <c r="BW119" s="87"/>
      <c r="BX119" s="87"/>
      <c r="BY119" s="87"/>
      <c r="BZ119" s="87"/>
      <c r="CA119" s="87"/>
      <c r="CB119" s="87"/>
      <c r="CC119" s="87"/>
      <c r="CD119" s="87"/>
      <c r="CE119" s="87"/>
      <c r="CF119" s="87"/>
      <c r="CG119" s="87"/>
      <c r="CH119" s="87"/>
      <c r="CI119" s="87"/>
      <c r="CJ119" s="87"/>
      <c r="CK119" s="87"/>
      <c r="CL119" s="87"/>
      <c r="CM119" s="87"/>
      <c r="CN119" s="87"/>
      <c r="CO119" s="87"/>
      <c r="CP119" s="87"/>
      <c r="CQ119" s="87"/>
      <c r="CR119" s="87"/>
      <c r="CS119" s="87"/>
      <c r="CT119" s="87"/>
      <c r="CU119" s="87"/>
      <c r="CV119" s="87"/>
      <c r="CW119" s="87"/>
      <c r="CX119" s="87"/>
      <c r="CY119" s="87"/>
      <c r="CZ119" s="87"/>
      <c r="DA119" s="87"/>
      <c r="DB119" s="119"/>
    </row>
    <row r="120" spans="1:106" s="88" customFormat="1" ht="12" customHeight="1">
      <c r="A120" s="214" t="s">
        <v>170</v>
      </c>
      <c r="B120" s="215"/>
      <c r="C120" s="113" t="s">
        <v>28</v>
      </c>
      <c r="D120" s="277">
        <f>AP25</f>
        <v>14.32</v>
      </c>
      <c r="E120" s="277"/>
      <c r="F120" s="277"/>
      <c r="G120" s="277"/>
      <c r="H120" s="277"/>
      <c r="I120" s="218" t="s">
        <v>213</v>
      </c>
      <c r="J120" s="218"/>
      <c r="K120" s="218"/>
      <c r="L120" s="218"/>
      <c r="M120" s="218"/>
      <c r="N120" s="218"/>
      <c r="O120" s="120"/>
      <c r="P120" s="120"/>
      <c r="Q120" s="120"/>
      <c r="R120" s="215"/>
      <c r="S120" s="215"/>
      <c r="T120" s="113"/>
      <c r="U120" s="217"/>
      <c r="V120" s="218"/>
      <c r="W120" s="219"/>
      <c r="X120" s="220" t="s">
        <v>162</v>
      </c>
      <c r="Y120" s="221"/>
      <c r="Z120" s="221"/>
      <c r="AA120" s="97" t="s">
        <v>28</v>
      </c>
      <c r="AB120" s="222" t="str">
        <f ca="1">CONCATENATE(BA119," x ",$AO$17," x ", AP116," x [1 + 0,5 x (",AW116," - 1)]  = ")</f>
        <v xml:space="preserve">1,33 x 307,7 x 1,0844 x [1 + 0,5 x (1,0076 - 1)]  = </v>
      </c>
      <c r="AC120" s="222"/>
      <c r="AD120" s="222"/>
      <c r="AE120" s="222"/>
      <c r="AF120" s="222"/>
      <c r="AG120" s="222"/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3"/>
      <c r="BA120" s="268">
        <f ca="1">ROUND(BA119*$AO$17*AP116*(1+0.5*(AW116-1)),2)</f>
        <v>445.47</v>
      </c>
      <c r="BB120" s="269"/>
      <c r="BC120" s="269"/>
      <c r="BD120" s="269"/>
      <c r="BE120" s="269"/>
      <c r="BF120" s="270" t="s">
        <v>23</v>
      </c>
      <c r="BG120" s="270"/>
      <c r="BH120" s="271"/>
      <c r="BI120" s="87"/>
      <c r="BJ120" s="87"/>
      <c r="BK120" s="87"/>
      <c r="BL120" s="87"/>
      <c r="BM120" s="87"/>
      <c r="BN120" s="87"/>
      <c r="BO120" s="87"/>
      <c r="BP120" s="87"/>
      <c r="BQ120" s="87"/>
      <c r="BR120" s="87"/>
      <c r="BS120" s="87"/>
      <c r="BT120" s="87"/>
      <c r="BU120" s="87"/>
      <c r="BV120" s="87"/>
      <c r="BW120" s="87"/>
      <c r="BX120" s="87"/>
      <c r="BY120" s="87"/>
      <c r="BZ120" s="87"/>
      <c r="CA120" s="87"/>
      <c r="CB120" s="87"/>
      <c r="CC120" s="87"/>
      <c r="CD120" s="87"/>
      <c r="CE120" s="87"/>
      <c r="CF120" s="87"/>
      <c r="CG120" s="87"/>
      <c r="CH120" s="87"/>
      <c r="CI120" s="87"/>
      <c r="CJ120" s="87"/>
      <c r="CK120" s="87"/>
      <c r="CL120" s="87"/>
      <c r="CM120" s="87"/>
      <c r="CN120" s="87"/>
      <c r="CO120" s="87"/>
      <c r="CP120" s="87"/>
      <c r="CQ120" s="87"/>
      <c r="CR120" s="87"/>
      <c r="CS120" s="87"/>
      <c r="CT120" s="87"/>
      <c r="CU120" s="87"/>
      <c r="CV120" s="87"/>
      <c r="CW120" s="87"/>
      <c r="CX120" s="87"/>
      <c r="CY120" s="87"/>
      <c r="CZ120" s="87"/>
      <c r="DA120" s="87"/>
      <c r="DB120" s="119"/>
    </row>
    <row r="121" spans="1:106" s="88" customFormat="1" ht="12" customHeight="1">
      <c r="A121" s="241" t="s">
        <v>192</v>
      </c>
      <c r="B121" s="242"/>
      <c r="C121" s="242"/>
      <c r="D121" s="242"/>
      <c r="E121" s="242"/>
      <c r="F121" s="242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3"/>
      <c r="X121" s="244" t="s">
        <v>45</v>
      </c>
      <c r="Y121" s="245"/>
      <c r="Z121" s="245"/>
      <c r="AA121" s="245"/>
      <c r="AB121" s="253">
        <f ca="1">график!C18</f>
        <v>45413</v>
      </c>
      <c r="AC121" s="246"/>
      <c r="AD121" s="246"/>
      <c r="AE121" s="246"/>
      <c r="AF121" s="246"/>
      <c r="AG121" s="93" t="s">
        <v>1</v>
      </c>
      <c r="AH121" s="254">
        <f ca="1">график!E18</f>
        <v>45413</v>
      </c>
      <c r="AI121" s="247"/>
      <c r="AJ121" s="247"/>
      <c r="AK121" s="247"/>
      <c r="AL121" s="247"/>
      <c r="AM121" s="255" t="s">
        <v>158</v>
      </c>
      <c r="AN121" s="255"/>
      <c r="AO121" s="91" t="s">
        <v>28</v>
      </c>
      <c r="AP121" s="256">
        <f ca="1">график!F18</f>
        <v>1.0844</v>
      </c>
      <c r="AQ121" s="256"/>
      <c r="AR121" s="256"/>
      <c r="AS121" s="256"/>
      <c r="AT121" s="255" t="s">
        <v>159</v>
      </c>
      <c r="AU121" s="255"/>
      <c r="AV121" s="91" t="s">
        <v>28</v>
      </c>
      <c r="AW121" s="228">
        <f ca="1">график!G18</f>
        <v>1.0076000000000001</v>
      </c>
      <c r="AX121" s="228"/>
      <c r="AY121" s="228"/>
      <c r="AZ121" s="229"/>
      <c r="BA121" s="401"/>
      <c r="BB121" s="402"/>
      <c r="BC121" s="402"/>
      <c r="BD121" s="402"/>
      <c r="BE121" s="402"/>
      <c r="BF121" s="402"/>
      <c r="BG121" s="402"/>
      <c r="BH121" s="403"/>
      <c r="BI121" s="87"/>
      <c r="BJ121" s="87"/>
      <c r="BK121" s="87"/>
      <c r="BL121" s="87"/>
      <c r="BM121" s="87"/>
      <c r="BN121" s="87"/>
      <c r="BO121" s="87"/>
      <c r="BP121" s="87"/>
      <c r="BQ121" s="87"/>
      <c r="BR121" s="87"/>
      <c r="BS121" s="87"/>
      <c r="BT121" s="87"/>
      <c r="BU121" s="87"/>
      <c r="BV121" s="87"/>
      <c r="BW121" s="87"/>
      <c r="BX121" s="87"/>
      <c r="BY121" s="87"/>
      <c r="BZ121" s="87"/>
      <c r="CA121" s="87"/>
      <c r="CB121" s="87"/>
      <c r="CC121" s="87"/>
      <c r="CD121" s="87"/>
      <c r="CE121" s="87"/>
      <c r="CF121" s="87"/>
      <c r="CG121" s="87"/>
      <c r="CH121" s="87"/>
      <c r="CI121" s="87"/>
      <c r="CJ121" s="87"/>
      <c r="CK121" s="87"/>
      <c r="CL121" s="87"/>
      <c r="CM121" s="87"/>
      <c r="CN121" s="87"/>
      <c r="CO121" s="87"/>
      <c r="CP121" s="87"/>
      <c r="CQ121" s="87"/>
      <c r="CR121" s="87"/>
      <c r="CS121" s="87"/>
      <c r="CT121" s="87"/>
      <c r="CU121" s="87"/>
      <c r="CV121" s="87"/>
      <c r="CW121" s="87"/>
      <c r="CX121" s="87"/>
      <c r="CY121" s="87"/>
      <c r="CZ121" s="87"/>
      <c r="DA121" s="87"/>
      <c r="DB121" s="119"/>
    </row>
    <row r="122" spans="1:106" s="88" customFormat="1" ht="12" customHeight="1">
      <c r="A122" s="408" t="s">
        <v>238</v>
      </c>
      <c r="B122" s="409"/>
      <c r="C122" s="409"/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R122" s="409"/>
      <c r="S122" s="409"/>
      <c r="T122" s="409"/>
      <c r="U122" s="409"/>
      <c r="V122" s="409"/>
      <c r="W122" s="410"/>
      <c r="X122" s="208" t="s">
        <v>39</v>
      </c>
      <c r="Y122" s="209"/>
      <c r="Z122" s="209"/>
      <c r="AA122" s="44" t="s">
        <v>28</v>
      </c>
      <c r="AB122" s="258">
        <v>1.07</v>
      </c>
      <c r="AC122" s="258"/>
      <c r="AD122" s="258"/>
      <c r="AE122" s="258"/>
      <c r="AF122" s="248" t="s">
        <v>40</v>
      </c>
      <c r="AG122" s="209"/>
      <c r="AH122" s="209"/>
      <c r="AI122" s="209"/>
      <c r="AJ122" s="209"/>
      <c r="AK122" s="44" t="s">
        <v>28</v>
      </c>
      <c r="AL122" s="297">
        <v>0.12</v>
      </c>
      <c r="AM122" s="298"/>
      <c r="AN122" s="298"/>
      <c r="AO122" s="298"/>
      <c r="AP122" s="29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35"/>
      <c r="BA122" s="210"/>
      <c r="BB122" s="211"/>
      <c r="BC122" s="211"/>
      <c r="BD122" s="211"/>
      <c r="BE122" s="211"/>
      <c r="BF122" s="212"/>
      <c r="BG122" s="212"/>
      <c r="BH122" s="213"/>
      <c r="BI122" s="87"/>
      <c r="BJ122" s="87"/>
      <c r="BK122" s="87"/>
      <c r="BL122" s="87"/>
      <c r="BM122" s="87"/>
      <c r="BN122" s="87"/>
      <c r="BO122" s="87"/>
      <c r="BP122" s="87"/>
      <c r="BQ122" s="87"/>
      <c r="BR122" s="87"/>
      <c r="BS122" s="87"/>
      <c r="BT122" s="87"/>
      <c r="BU122" s="87"/>
      <c r="BV122" s="87"/>
      <c r="BW122" s="87"/>
      <c r="BX122" s="87"/>
      <c r="BY122" s="87"/>
      <c r="BZ122" s="87"/>
      <c r="CA122" s="87"/>
      <c r="CB122" s="87"/>
      <c r="CC122" s="87"/>
      <c r="CD122" s="87"/>
      <c r="CE122" s="87"/>
      <c r="CF122" s="87"/>
      <c r="CG122" s="87"/>
      <c r="CH122" s="87"/>
      <c r="CI122" s="87"/>
      <c r="CJ122" s="87"/>
      <c r="CK122" s="87"/>
      <c r="CL122" s="87"/>
      <c r="CM122" s="87"/>
      <c r="CN122" s="87"/>
      <c r="CO122" s="87"/>
      <c r="CP122" s="87"/>
      <c r="CQ122" s="87"/>
      <c r="CR122" s="87"/>
      <c r="CS122" s="87"/>
      <c r="CT122" s="87"/>
      <c r="CU122" s="87"/>
      <c r="CV122" s="87"/>
      <c r="CW122" s="87"/>
      <c r="CX122" s="87"/>
      <c r="CY122" s="87"/>
      <c r="CZ122" s="87"/>
      <c r="DA122" s="87"/>
      <c r="DB122" s="119"/>
    </row>
    <row r="123" spans="1:106" s="88" customFormat="1" ht="12" customHeight="1">
      <c r="A123" s="408"/>
      <c r="B123" s="409"/>
      <c r="C123" s="409"/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R123" s="409"/>
      <c r="S123" s="409"/>
      <c r="T123" s="409"/>
      <c r="U123" s="409"/>
      <c r="V123" s="409"/>
      <c r="W123" s="410"/>
      <c r="X123" s="208" t="s">
        <v>41</v>
      </c>
      <c r="Y123" s="209"/>
      <c r="Z123" s="209"/>
      <c r="AA123" s="44" t="s">
        <v>28</v>
      </c>
      <c r="AB123" s="258">
        <v>35.15</v>
      </c>
      <c r="AC123" s="258"/>
      <c r="AD123" s="258"/>
      <c r="AE123" s="258"/>
      <c r="AF123" s="248" t="s">
        <v>42</v>
      </c>
      <c r="AG123" s="209"/>
      <c r="AH123" s="209"/>
      <c r="AI123" s="209"/>
      <c r="AJ123" s="209"/>
      <c r="AK123" s="44" t="s">
        <v>28</v>
      </c>
      <c r="AL123" s="289">
        <v>4</v>
      </c>
      <c r="AM123" s="290"/>
      <c r="AN123" s="290"/>
      <c r="AO123" s="290"/>
      <c r="AP123" s="290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35"/>
      <c r="BA123" s="210"/>
      <c r="BB123" s="211"/>
      <c r="BC123" s="211"/>
      <c r="BD123" s="211"/>
      <c r="BE123" s="211"/>
      <c r="BF123" s="212"/>
      <c r="BG123" s="212"/>
      <c r="BH123" s="213"/>
      <c r="BI123" s="87"/>
      <c r="BJ123" s="87"/>
      <c r="BK123" s="87"/>
      <c r="BL123" s="87"/>
      <c r="BM123" s="87"/>
      <c r="BN123" s="87"/>
      <c r="BO123" s="87"/>
      <c r="BP123" s="87"/>
      <c r="BQ123" s="87"/>
      <c r="BR123" s="87"/>
      <c r="BS123" s="87"/>
      <c r="BT123" s="87"/>
      <c r="BU123" s="87"/>
      <c r="BV123" s="87"/>
      <c r="BW123" s="87"/>
      <c r="BX123" s="87"/>
      <c r="BY123" s="87"/>
      <c r="BZ123" s="87"/>
      <c r="CA123" s="87"/>
      <c r="CB123" s="87"/>
      <c r="CC123" s="87"/>
      <c r="CD123" s="87"/>
      <c r="CE123" s="87"/>
      <c r="CF123" s="87"/>
      <c r="CG123" s="87"/>
      <c r="CH123" s="87"/>
      <c r="CI123" s="87"/>
      <c r="CJ123" s="87"/>
      <c r="CK123" s="87"/>
      <c r="CL123" s="87"/>
      <c r="CM123" s="87"/>
      <c r="CN123" s="87"/>
      <c r="CO123" s="87"/>
      <c r="CP123" s="87"/>
      <c r="CQ123" s="87"/>
      <c r="CR123" s="87"/>
      <c r="CS123" s="87"/>
      <c r="CT123" s="87"/>
      <c r="CU123" s="87"/>
      <c r="CV123" s="87"/>
      <c r="CW123" s="87"/>
      <c r="CX123" s="87"/>
      <c r="CY123" s="87"/>
      <c r="CZ123" s="87"/>
      <c r="DA123" s="87"/>
      <c r="DB123" s="119"/>
    </row>
    <row r="124" spans="1:106" s="88" customFormat="1" ht="12" customHeight="1">
      <c r="A124" s="408"/>
      <c r="B124" s="409"/>
      <c r="C124" s="409"/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R124" s="409"/>
      <c r="S124" s="409"/>
      <c r="T124" s="409"/>
      <c r="U124" s="409"/>
      <c r="V124" s="409"/>
      <c r="W124" s="410"/>
      <c r="X124" s="224" t="s">
        <v>22</v>
      </c>
      <c r="Y124" s="225"/>
      <c r="Z124" s="225"/>
      <c r="AA124" s="94" t="s">
        <v>28</v>
      </c>
      <c r="AB124" s="226" t="str">
        <f>CONCATENATE(AL122," + [ (",AL123," - ", AL122,") / (",AB123," - ", AB122,") ] х (",D125," - ",AB122,") х 0,8 = ")</f>
        <v xml:space="preserve">0,12 + [ (4 - 0,12) / (35,15 - 1,07) ] х (3,5 - 1,07) х 0,8 = </v>
      </c>
      <c r="AC124" s="226"/>
      <c r="AD124" s="226"/>
      <c r="AE124" s="226"/>
      <c r="AF124" s="226"/>
      <c r="AG124" s="226"/>
      <c r="AH124" s="226"/>
      <c r="AI124" s="226"/>
      <c r="AJ124" s="226"/>
      <c r="AK124" s="226"/>
      <c r="AL124" s="226"/>
      <c r="AM124" s="226"/>
      <c r="AN124" s="226"/>
      <c r="AO124" s="226"/>
      <c r="AP124" s="226"/>
      <c r="AQ124" s="226"/>
      <c r="AR124" s="226"/>
      <c r="AS124" s="226"/>
      <c r="AT124" s="226"/>
      <c r="AU124" s="226"/>
      <c r="AV124" s="226"/>
      <c r="AW124" s="226"/>
      <c r="AX124" s="226"/>
      <c r="AY124" s="226"/>
      <c r="AZ124" s="227"/>
      <c r="BA124" s="210">
        <f>ROUND(AL122 - ((AL123-AL122) / (AB123-AB122)) * (AB122-D125) * 0.8,2)</f>
        <v>0.34</v>
      </c>
      <c r="BB124" s="211"/>
      <c r="BC124" s="211"/>
      <c r="BD124" s="211"/>
      <c r="BE124" s="211"/>
      <c r="BF124" s="212" t="s">
        <v>163</v>
      </c>
      <c r="BG124" s="212"/>
      <c r="BH124" s="213"/>
      <c r="BI124" s="87"/>
      <c r="BJ124" s="144" t="s">
        <v>194</v>
      </c>
      <c r="BK124" s="87"/>
      <c r="BL124" s="87"/>
      <c r="BM124" s="87"/>
      <c r="BN124" s="87"/>
      <c r="BO124" s="87"/>
      <c r="BP124" s="87"/>
      <c r="BQ124" s="87"/>
      <c r="BR124" s="87"/>
      <c r="BS124" s="87"/>
      <c r="BT124" s="87"/>
      <c r="BU124" s="87"/>
      <c r="BV124" s="87"/>
      <c r="BW124" s="87"/>
      <c r="BX124" s="87"/>
      <c r="BY124" s="87"/>
      <c r="BZ124" s="87"/>
      <c r="CA124" s="87"/>
      <c r="CB124" s="87"/>
      <c r="CC124" s="87"/>
      <c r="CD124" s="87"/>
      <c r="CE124" s="87"/>
      <c r="CF124" s="87"/>
      <c r="CG124" s="87"/>
      <c r="CH124" s="87"/>
      <c r="CI124" s="87"/>
      <c r="CJ124" s="87"/>
      <c r="CK124" s="87"/>
      <c r="CL124" s="87"/>
      <c r="CM124" s="87"/>
      <c r="CN124" s="87"/>
      <c r="CO124" s="87"/>
      <c r="CP124" s="87"/>
      <c r="CQ124" s="87"/>
      <c r="CR124" s="87"/>
      <c r="CS124" s="87"/>
      <c r="CT124" s="87"/>
      <c r="CU124" s="87"/>
      <c r="CV124" s="87"/>
      <c r="CW124" s="87"/>
      <c r="CX124" s="87"/>
      <c r="CY124" s="87"/>
      <c r="CZ124" s="87"/>
      <c r="DA124" s="87"/>
      <c r="DB124" s="119"/>
    </row>
    <row r="125" spans="1:106" s="88" customFormat="1" ht="12" customHeight="1">
      <c r="A125" s="214" t="s">
        <v>170</v>
      </c>
      <c r="B125" s="215"/>
      <c r="C125" s="113" t="s">
        <v>28</v>
      </c>
      <c r="D125" s="277">
        <v>3.5</v>
      </c>
      <c r="E125" s="277"/>
      <c r="F125" s="277"/>
      <c r="G125" s="277"/>
      <c r="H125" s="277"/>
      <c r="I125" s="218" t="s">
        <v>213</v>
      </c>
      <c r="J125" s="218"/>
      <c r="K125" s="218"/>
      <c r="L125" s="218"/>
      <c r="M125" s="218"/>
      <c r="N125" s="218"/>
      <c r="O125" s="120"/>
      <c r="P125" s="120"/>
      <c r="Q125" s="120"/>
      <c r="R125" s="215"/>
      <c r="S125" s="215"/>
      <c r="T125" s="113"/>
      <c r="U125" s="217"/>
      <c r="V125" s="218"/>
      <c r="W125" s="219"/>
      <c r="X125" s="220" t="s">
        <v>162</v>
      </c>
      <c r="Y125" s="221"/>
      <c r="Z125" s="221"/>
      <c r="AA125" s="97" t="s">
        <v>28</v>
      </c>
      <c r="AB125" s="222" t="str">
        <f ca="1">CONCATENATE(BA124," x ",$AO$17," x ", AP121," x [1 + 0,5 x (",AW121," - 1)]  = ")</f>
        <v xml:space="preserve">0,34 x 307,7 x 1,0844 x [1 + 0,5 x (1,0076 - 1)]  = </v>
      </c>
      <c r="AC125" s="222"/>
      <c r="AD125" s="222"/>
      <c r="AE125" s="222"/>
      <c r="AF125" s="222"/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  <c r="AV125" s="222"/>
      <c r="AW125" s="222"/>
      <c r="AX125" s="222"/>
      <c r="AY125" s="222"/>
      <c r="AZ125" s="223"/>
      <c r="BA125" s="268">
        <f ca="1">ROUND(BA124*$AO$17*AP121*(1+0.5*(AW121-1)),2)</f>
        <v>113.88</v>
      </c>
      <c r="BB125" s="269"/>
      <c r="BC125" s="269"/>
      <c r="BD125" s="269"/>
      <c r="BE125" s="269"/>
      <c r="BF125" s="270" t="s">
        <v>23</v>
      </c>
      <c r="BG125" s="270"/>
      <c r="BH125" s="271"/>
      <c r="BI125" s="87"/>
      <c r="BJ125" s="87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87"/>
      <c r="CI125" s="87"/>
      <c r="CJ125" s="87"/>
      <c r="CK125" s="87"/>
      <c r="CL125" s="87"/>
      <c r="CM125" s="87"/>
      <c r="CN125" s="87"/>
      <c r="CO125" s="87"/>
      <c r="CP125" s="87"/>
      <c r="CQ125" s="87"/>
      <c r="CR125" s="87"/>
      <c r="CS125" s="87"/>
      <c r="CT125" s="87"/>
      <c r="CU125" s="87"/>
      <c r="CV125" s="87"/>
      <c r="CW125" s="87"/>
      <c r="CX125" s="87"/>
      <c r="CY125" s="87"/>
      <c r="CZ125" s="87"/>
      <c r="DA125" s="87"/>
      <c r="DB125" s="119"/>
    </row>
    <row r="126" spans="1:106" s="90" customFormat="1" ht="12" customHeight="1">
      <c r="A126" s="239" t="str">
        <f ca="1">график!A19</f>
        <v>5.2</v>
      </c>
      <c r="B126" s="240"/>
      <c r="C126" s="205" t="str">
        <f ca="1">график!B19</f>
        <v>организация выноса (переноса) сооружений взамен сносимых</v>
      </c>
      <c r="D126" s="205"/>
      <c r="E126" s="205"/>
      <c r="F126" s="205"/>
      <c r="G126" s="205"/>
      <c r="H126" s="205"/>
      <c r="I126" s="205"/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205"/>
      <c r="AD126" s="205"/>
      <c r="AE126" s="205"/>
      <c r="AF126" s="205"/>
      <c r="AG126" s="205"/>
      <c r="AH126" s="205"/>
      <c r="AI126" s="205"/>
      <c r="AJ126" s="205"/>
      <c r="AK126" s="205"/>
      <c r="AL126" s="205"/>
      <c r="AM126" s="205"/>
      <c r="AN126" s="205"/>
      <c r="AO126" s="205"/>
      <c r="AP126" s="205"/>
      <c r="AQ126" s="205"/>
      <c r="AR126" s="205"/>
      <c r="AS126" s="205"/>
      <c r="AT126" s="205"/>
      <c r="AU126" s="205"/>
      <c r="AV126" s="205"/>
      <c r="AW126" s="205"/>
      <c r="AX126" s="205"/>
      <c r="AY126" s="205"/>
      <c r="AZ126" s="205"/>
      <c r="BA126" s="251" t="s">
        <v>245</v>
      </c>
      <c r="BB126" s="251"/>
      <c r="BC126" s="251"/>
      <c r="BD126" s="251"/>
      <c r="BE126" s="251"/>
      <c r="BF126" s="251"/>
      <c r="BG126" s="251"/>
      <c r="BH126" s="252"/>
      <c r="BI126" s="117"/>
      <c r="BJ126" s="117"/>
      <c r="BK126" s="117"/>
      <c r="BL126" s="117"/>
      <c r="BM126" s="117"/>
      <c r="BN126" s="117"/>
      <c r="BO126" s="117"/>
      <c r="BP126" s="117"/>
      <c r="BQ126" s="117"/>
      <c r="BR126" s="117"/>
      <c r="BS126" s="117"/>
      <c r="BT126" s="117"/>
      <c r="BU126" s="117"/>
      <c r="BV126" s="117"/>
      <c r="BW126" s="117"/>
      <c r="BX126" s="117"/>
      <c r="BY126" s="117"/>
      <c r="BZ126" s="117"/>
      <c r="CA126" s="117"/>
      <c r="CB126" s="117"/>
      <c r="CC126" s="117"/>
      <c r="CD126" s="117"/>
      <c r="CE126" s="117"/>
      <c r="CF126" s="117"/>
      <c r="CG126" s="117"/>
      <c r="CH126" s="117"/>
      <c r="CI126" s="117"/>
      <c r="CJ126" s="117"/>
      <c r="CK126" s="117"/>
      <c r="CL126" s="117"/>
      <c r="CM126" s="117"/>
      <c r="CN126" s="117"/>
      <c r="CO126" s="117"/>
      <c r="CP126" s="117"/>
      <c r="CQ126" s="117"/>
      <c r="CR126" s="117"/>
      <c r="CS126" s="117"/>
      <c r="CT126" s="117"/>
      <c r="CU126" s="117"/>
      <c r="CV126" s="117"/>
      <c r="CW126" s="117"/>
      <c r="CX126" s="117"/>
      <c r="CY126" s="117"/>
      <c r="CZ126" s="117"/>
      <c r="DA126" s="117"/>
      <c r="DB126" s="118"/>
    </row>
    <row r="127" spans="1:106" s="88" customFormat="1" ht="12" customHeight="1">
      <c r="A127" s="241" t="s">
        <v>234</v>
      </c>
      <c r="B127" s="242"/>
      <c r="C127" s="242"/>
      <c r="D127" s="242"/>
      <c r="E127" s="242"/>
      <c r="F127" s="242"/>
      <c r="G127" s="242"/>
      <c r="H127" s="242"/>
      <c r="I127" s="242"/>
      <c r="J127" s="242"/>
      <c r="K127" s="242"/>
      <c r="L127" s="242"/>
      <c r="M127" s="242"/>
      <c r="N127" s="242"/>
      <c r="O127" s="242"/>
      <c r="P127" s="242"/>
      <c r="Q127" s="242"/>
      <c r="R127" s="242"/>
      <c r="S127" s="242"/>
      <c r="T127" s="242"/>
      <c r="U127" s="242"/>
      <c r="V127" s="242"/>
      <c r="W127" s="243"/>
      <c r="X127" s="244" t="s">
        <v>45</v>
      </c>
      <c r="Y127" s="245"/>
      <c r="Z127" s="245"/>
      <c r="AA127" s="245"/>
      <c r="AB127" s="253">
        <f ca="1">график!C19</f>
        <v>45444</v>
      </c>
      <c r="AC127" s="246"/>
      <c r="AD127" s="246"/>
      <c r="AE127" s="246"/>
      <c r="AF127" s="246"/>
      <c r="AG127" s="93" t="s">
        <v>1</v>
      </c>
      <c r="AH127" s="254">
        <f ca="1">график!E19</f>
        <v>45474</v>
      </c>
      <c r="AI127" s="247"/>
      <c r="AJ127" s="247"/>
      <c r="AK127" s="247"/>
      <c r="AL127" s="247"/>
      <c r="AM127" s="255" t="s">
        <v>158</v>
      </c>
      <c r="AN127" s="255"/>
      <c r="AO127" s="91" t="s">
        <v>28</v>
      </c>
      <c r="AP127" s="256">
        <f ca="1">график!F19</f>
        <v>1.0927</v>
      </c>
      <c r="AQ127" s="256"/>
      <c r="AR127" s="256"/>
      <c r="AS127" s="256"/>
      <c r="AT127" s="255" t="s">
        <v>159</v>
      </c>
      <c r="AU127" s="255"/>
      <c r="AV127" s="91" t="s">
        <v>28</v>
      </c>
      <c r="AW127" s="228">
        <f ca="1">график!G19</f>
        <v>1.0153000000000001</v>
      </c>
      <c r="AX127" s="228"/>
      <c r="AY127" s="228"/>
      <c r="AZ127" s="229"/>
      <c r="BA127" s="401"/>
      <c r="BB127" s="402"/>
      <c r="BC127" s="402"/>
      <c r="BD127" s="402"/>
      <c r="BE127" s="402"/>
      <c r="BF127" s="402"/>
      <c r="BG127" s="402"/>
      <c r="BH127" s="403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  <c r="BV127" s="87"/>
      <c r="BW127" s="87"/>
      <c r="BX127" s="87"/>
      <c r="BY127" s="87"/>
      <c r="BZ127" s="87"/>
      <c r="CA127" s="87"/>
      <c r="CB127" s="87"/>
      <c r="CC127" s="87"/>
      <c r="CD127" s="87"/>
      <c r="CE127" s="87"/>
      <c r="CF127" s="87"/>
      <c r="CG127" s="87"/>
      <c r="CH127" s="87"/>
      <c r="CI127" s="87"/>
      <c r="CJ127" s="87"/>
      <c r="CK127" s="87"/>
      <c r="CL127" s="87"/>
      <c r="CM127" s="87"/>
      <c r="CN127" s="87"/>
      <c r="CO127" s="87"/>
      <c r="CP127" s="87"/>
      <c r="CQ127" s="87"/>
      <c r="CR127" s="87"/>
      <c r="CS127" s="87"/>
      <c r="CT127" s="87"/>
      <c r="CU127" s="87"/>
      <c r="CV127" s="87"/>
      <c r="CW127" s="87"/>
      <c r="CX127" s="87"/>
      <c r="CY127" s="87"/>
      <c r="CZ127" s="87"/>
      <c r="DA127" s="87"/>
      <c r="DB127" s="119"/>
    </row>
    <row r="128" spans="1:106" s="88" customFormat="1" ht="12" customHeight="1">
      <c r="A128" s="273" t="s">
        <v>261</v>
      </c>
      <c r="B128" s="274"/>
      <c r="C128" s="274"/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5"/>
      <c r="X128" s="208" t="s">
        <v>39</v>
      </c>
      <c r="Y128" s="209"/>
      <c r="Z128" s="209"/>
      <c r="AA128" s="44" t="s">
        <v>28</v>
      </c>
      <c r="AB128" s="258">
        <v>500</v>
      </c>
      <c r="AC128" s="258"/>
      <c r="AD128" s="258"/>
      <c r="AE128" s="258"/>
      <c r="AF128" s="248" t="s">
        <v>40</v>
      </c>
      <c r="AG128" s="209"/>
      <c r="AH128" s="209"/>
      <c r="AI128" s="209"/>
      <c r="AJ128" s="209"/>
      <c r="AK128" s="44" t="s">
        <v>28</v>
      </c>
      <c r="AL128" s="297">
        <f>1+2+12+5+3.31</f>
        <v>23.31</v>
      </c>
      <c r="AM128" s="298"/>
      <c r="AN128" s="298"/>
      <c r="AO128" s="298"/>
      <c r="AP128" s="298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35"/>
      <c r="BA128" s="210"/>
      <c r="BB128" s="211"/>
      <c r="BC128" s="211"/>
      <c r="BD128" s="211"/>
      <c r="BE128" s="211"/>
      <c r="BF128" s="212"/>
      <c r="BG128" s="212"/>
      <c r="BH128" s="213"/>
      <c r="BI128" s="87"/>
      <c r="BJ128" s="87"/>
      <c r="BK128" s="87"/>
      <c r="BL128" s="87"/>
      <c r="BM128" s="87"/>
      <c r="BN128" s="87"/>
      <c r="BO128" s="87"/>
      <c r="BP128" s="87"/>
      <c r="BQ128" s="87"/>
      <c r="BR128" s="87"/>
      <c r="BS128" s="87"/>
      <c r="BT128" s="87"/>
      <c r="BU128" s="87"/>
      <c r="BV128" s="87"/>
      <c r="BW128" s="87"/>
      <c r="BX128" s="87"/>
      <c r="BY128" s="87"/>
      <c r="BZ128" s="87"/>
      <c r="CA128" s="87"/>
      <c r="CB128" s="87"/>
      <c r="CC128" s="87"/>
      <c r="CD128" s="87"/>
      <c r="CE128" s="87"/>
      <c r="CF128" s="87"/>
      <c r="CG128" s="87"/>
      <c r="CH128" s="87"/>
      <c r="CI128" s="87"/>
      <c r="CJ128" s="87"/>
      <c r="CK128" s="87"/>
      <c r="CL128" s="87"/>
      <c r="CM128" s="87"/>
      <c r="CN128" s="87"/>
      <c r="CO128" s="87"/>
      <c r="CP128" s="87"/>
      <c r="CQ128" s="87"/>
      <c r="CR128" s="87"/>
      <c r="CS128" s="87"/>
      <c r="CT128" s="87"/>
      <c r="CU128" s="87"/>
      <c r="CV128" s="87"/>
      <c r="CW128" s="87"/>
      <c r="CX128" s="87"/>
      <c r="CY128" s="87"/>
      <c r="CZ128" s="87"/>
      <c r="DA128" s="87"/>
      <c r="DB128" s="119"/>
    </row>
    <row r="129" spans="1:106" s="88" customFormat="1" ht="12" customHeight="1">
      <c r="A129" s="273"/>
      <c r="B129" s="274"/>
      <c r="C129" s="274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5"/>
      <c r="X129" s="208" t="s">
        <v>41</v>
      </c>
      <c r="Y129" s="209"/>
      <c r="Z129" s="209"/>
      <c r="AA129" s="44" t="s">
        <v>28</v>
      </c>
      <c r="AB129" s="258">
        <v>1000</v>
      </c>
      <c r="AC129" s="258"/>
      <c r="AD129" s="258"/>
      <c r="AE129" s="258"/>
      <c r="AF129" s="248" t="s">
        <v>42</v>
      </c>
      <c r="AG129" s="209"/>
      <c r="AH129" s="209"/>
      <c r="AI129" s="209"/>
      <c r="AJ129" s="209"/>
      <c r="AK129" s="44" t="s">
        <v>28</v>
      </c>
      <c r="AL129" s="297">
        <f>1.65+3.3+19.8+8.25+3.62</f>
        <v>36.619999999999997</v>
      </c>
      <c r="AM129" s="298"/>
      <c r="AN129" s="298"/>
      <c r="AO129" s="298"/>
      <c r="AP129" s="29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35"/>
      <c r="BA129" s="210"/>
      <c r="BB129" s="211"/>
      <c r="BC129" s="211"/>
      <c r="BD129" s="211"/>
      <c r="BE129" s="211"/>
      <c r="BF129" s="212"/>
      <c r="BG129" s="212"/>
      <c r="BH129" s="213"/>
      <c r="BI129" s="87"/>
      <c r="BJ129" s="87"/>
      <c r="BK129" s="87"/>
      <c r="BL129" s="87"/>
      <c r="BM129" s="87"/>
      <c r="BN129" s="87"/>
      <c r="BO129" s="87"/>
      <c r="BP129" s="87"/>
      <c r="BQ129" s="87"/>
      <c r="BR129" s="87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87"/>
      <c r="CD129" s="87"/>
      <c r="CE129" s="87"/>
      <c r="CF129" s="87"/>
      <c r="CG129" s="87"/>
      <c r="CH129" s="87"/>
      <c r="CI129" s="87"/>
      <c r="CJ129" s="87"/>
      <c r="CK129" s="87"/>
      <c r="CL129" s="87"/>
      <c r="CM129" s="87"/>
      <c r="CN129" s="87"/>
      <c r="CO129" s="87"/>
      <c r="CP129" s="87"/>
      <c r="CQ129" s="87"/>
      <c r="CR129" s="87"/>
      <c r="CS129" s="87"/>
      <c r="CT129" s="87"/>
      <c r="CU129" s="87"/>
      <c r="CV129" s="87"/>
      <c r="CW129" s="87"/>
      <c r="CX129" s="87"/>
      <c r="CY129" s="87"/>
      <c r="CZ129" s="87"/>
      <c r="DA129" s="87"/>
      <c r="DB129" s="119"/>
    </row>
    <row r="130" spans="1:106" s="88" customFormat="1" ht="12" customHeight="1">
      <c r="A130" s="273"/>
      <c r="B130" s="274"/>
      <c r="C130" s="274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5"/>
      <c r="X130" s="224" t="s">
        <v>22</v>
      </c>
      <c r="Y130" s="225"/>
      <c r="Z130" s="225"/>
      <c r="AA130" s="94" t="s">
        <v>28</v>
      </c>
      <c r="AB130" s="226" t="str">
        <f>CONCATENATE(AL128," - [ (",AL129," - ", AL128,") / (",AB129," - ", AB128,") ] х (",AB128," - ",D131,") х 0,8 = ")</f>
        <v xml:space="preserve">23,31 - [ (36,62 - 23,31) / (1000 - 500) ] х (500 - 520) х 0,8 = </v>
      </c>
      <c r="AC130" s="226"/>
      <c r="AD130" s="226"/>
      <c r="AE130" s="226"/>
      <c r="AF130" s="226"/>
      <c r="AG130" s="226"/>
      <c r="AH130" s="226"/>
      <c r="AI130" s="226"/>
      <c r="AJ130" s="226"/>
      <c r="AK130" s="226"/>
      <c r="AL130" s="226"/>
      <c r="AM130" s="226"/>
      <c r="AN130" s="226"/>
      <c r="AO130" s="226"/>
      <c r="AP130" s="226"/>
      <c r="AQ130" s="226"/>
      <c r="AR130" s="226"/>
      <c r="AS130" s="226"/>
      <c r="AT130" s="226"/>
      <c r="AU130" s="226"/>
      <c r="AV130" s="226"/>
      <c r="AW130" s="226"/>
      <c r="AX130" s="226"/>
      <c r="AY130" s="226"/>
      <c r="AZ130" s="227"/>
      <c r="BA130" s="210">
        <f>ROUND(AL128 - ((AL129-AL128) / (AB129-AB128)) * (AB128-D131) * 0.8,2)</f>
        <v>23.74</v>
      </c>
      <c r="BB130" s="211"/>
      <c r="BC130" s="211"/>
      <c r="BD130" s="211"/>
      <c r="BE130" s="211"/>
      <c r="BF130" s="212" t="s">
        <v>163</v>
      </c>
      <c r="BG130" s="212"/>
      <c r="BH130" s="213"/>
      <c r="BI130" s="87"/>
      <c r="BJ130" s="144" t="s">
        <v>194</v>
      </c>
      <c r="BK130" s="87"/>
      <c r="BL130" s="87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87"/>
      <c r="CD130" s="87"/>
      <c r="CE130" s="87"/>
      <c r="CF130" s="87"/>
      <c r="CG130" s="87"/>
      <c r="CH130" s="87"/>
      <c r="CI130" s="87"/>
      <c r="CJ130" s="87"/>
      <c r="CK130" s="87"/>
      <c r="CL130" s="87"/>
      <c r="CM130" s="87"/>
      <c r="CN130" s="87"/>
      <c r="CO130" s="87"/>
      <c r="CP130" s="87"/>
      <c r="CQ130" s="87"/>
      <c r="CR130" s="87"/>
      <c r="CS130" s="87"/>
      <c r="CT130" s="87"/>
      <c r="CU130" s="87"/>
      <c r="CV130" s="87"/>
      <c r="CW130" s="87"/>
      <c r="CX130" s="87"/>
      <c r="CY130" s="87"/>
      <c r="CZ130" s="87"/>
      <c r="DA130" s="87"/>
      <c r="DB130" s="119"/>
    </row>
    <row r="131" spans="1:106" s="88" customFormat="1" ht="12" customHeight="1">
      <c r="A131" s="214" t="s">
        <v>170</v>
      </c>
      <c r="B131" s="215"/>
      <c r="C131" s="113" t="s">
        <v>28</v>
      </c>
      <c r="D131" s="216">
        <v>520</v>
      </c>
      <c r="E131" s="216"/>
      <c r="F131" s="216"/>
      <c r="G131" s="216"/>
      <c r="H131" s="216"/>
      <c r="I131" s="218" t="s">
        <v>235</v>
      </c>
      <c r="J131" s="218"/>
      <c r="K131" s="218"/>
      <c r="L131" s="218"/>
      <c r="M131" s="218"/>
      <c r="N131" s="218"/>
      <c r="O131" s="120"/>
      <c r="P131" s="120"/>
      <c r="Q131" s="120"/>
      <c r="R131" s="215"/>
      <c r="S131" s="215"/>
      <c r="T131" s="113"/>
      <c r="U131" s="217"/>
      <c r="V131" s="218"/>
      <c r="W131" s="219"/>
      <c r="X131" s="220" t="s">
        <v>162</v>
      </c>
      <c r="Y131" s="221"/>
      <c r="Z131" s="221"/>
      <c r="AA131" s="97" t="s">
        <v>28</v>
      </c>
      <c r="AB131" s="222" t="str">
        <f ca="1">CONCATENATE(BA130," x ",$AO$17," x ", AP127," x [1 + 0,5 x (",AW127," - 1)]  = ")</f>
        <v xml:space="preserve">23,74 x 307,7 x 1,0927 x [1 + 0,5 x (1,0153 - 1)]  = </v>
      </c>
      <c r="AC131" s="222"/>
      <c r="AD131" s="222"/>
      <c r="AE131" s="222"/>
      <c r="AF131" s="222"/>
      <c r="AG131" s="222"/>
      <c r="AH131" s="222"/>
      <c r="AI131" s="222"/>
      <c r="AJ131" s="222"/>
      <c r="AK131" s="222"/>
      <c r="AL131" s="222"/>
      <c r="AM131" s="222"/>
      <c r="AN131" s="222"/>
      <c r="AO131" s="222"/>
      <c r="AP131" s="222"/>
      <c r="AQ131" s="222"/>
      <c r="AR131" s="222"/>
      <c r="AS131" s="222"/>
      <c r="AT131" s="222"/>
      <c r="AU131" s="222"/>
      <c r="AV131" s="222"/>
      <c r="AW131" s="222"/>
      <c r="AX131" s="222"/>
      <c r="AY131" s="222"/>
      <c r="AZ131" s="223"/>
      <c r="BA131" s="268">
        <f ca="1">ROUND(BA130*$AO$17*AP127*(1+0.5*(AW127-1)),2)</f>
        <v>8043.01</v>
      </c>
      <c r="BB131" s="269"/>
      <c r="BC131" s="269"/>
      <c r="BD131" s="269"/>
      <c r="BE131" s="269"/>
      <c r="BF131" s="270" t="s">
        <v>23</v>
      </c>
      <c r="BG131" s="270"/>
      <c r="BH131" s="271"/>
      <c r="BI131" s="87"/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87"/>
      <c r="BW131" s="87"/>
      <c r="BX131" s="87"/>
      <c r="BY131" s="87"/>
      <c r="BZ131" s="87"/>
      <c r="CA131" s="87"/>
      <c r="CB131" s="87"/>
      <c r="CC131" s="87"/>
      <c r="CD131" s="87"/>
      <c r="CE131" s="87"/>
      <c r="CF131" s="87"/>
      <c r="CG131" s="87"/>
      <c r="CH131" s="87"/>
      <c r="CI131" s="87"/>
      <c r="CJ131" s="87"/>
      <c r="CK131" s="87"/>
      <c r="CL131" s="87"/>
      <c r="CM131" s="87"/>
      <c r="CN131" s="87"/>
      <c r="CO131" s="87"/>
      <c r="CP131" s="87"/>
      <c r="CQ131" s="87"/>
      <c r="CR131" s="87"/>
      <c r="CS131" s="87"/>
      <c r="CT131" s="87"/>
      <c r="CU131" s="87"/>
      <c r="CV131" s="87"/>
      <c r="CW131" s="87"/>
      <c r="CX131" s="87"/>
      <c r="CY131" s="87"/>
      <c r="CZ131" s="87"/>
      <c r="DA131" s="87"/>
      <c r="DB131" s="119"/>
    </row>
    <row r="132" spans="1:106" s="90" customFormat="1" ht="12" customHeight="1">
      <c r="A132" s="239" t="str">
        <f ca="1">график!A20</f>
        <v>5.3</v>
      </c>
      <c r="B132" s="240"/>
      <c r="C132" s="205" t="str">
        <f ca="1">график!B20</f>
        <v xml:space="preserve">организация реализации имущественных прав граждан и организаций при изъятии у них земельных участков </v>
      </c>
      <c r="D132" s="205"/>
      <c r="E132" s="205"/>
      <c r="F132" s="205"/>
      <c r="G132" s="205"/>
      <c r="H132" s="205"/>
      <c r="I132" s="205"/>
      <c r="J132" s="205"/>
      <c r="K132" s="205"/>
      <c r="L132" s="205"/>
      <c r="M132" s="205"/>
      <c r="N132" s="205"/>
      <c r="O132" s="205"/>
      <c r="P132" s="205"/>
      <c r="Q132" s="205"/>
      <c r="R132" s="205"/>
      <c r="S132" s="205"/>
      <c r="T132" s="205"/>
      <c r="U132" s="205"/>
      <c r="V132" s="205"/>
      <c r="W132" s="205"/>
      <c r="X132" s="205"/>
      <c r="Y132" s="205"/>
      <c r="Z132" s="205"/>
      <c r="AA132" s="205"/>
      <c r="AB132" s="205"/>
      <c r="AC132" s="205"/>
      <c r="AD132" s="205"/>
      <c r="AE132" s="205"/>
      <c r="AF132" s="205"/>
      <c r="AG132" s="205"/>
      <c r="AH132" s="205"/>
      <c r="AI132" s="205"/>
      <c r="AJ132" s="205"/>
      <c r="AK132" s="205"/>
      <c r="AL132" s="205"/>
      <c r="AM132" s="205"/>
      <c r="AN132" s="205"/>
      <c r="AO132" s="205"/>
      <c r="AP132" s="205"/>
      <c r="AQ132" s="205"/>
      <c r="AR132" s="205"/>
      <c r="AS132" s="205"/>
      <c r="AT132" s="205"/>
      <c r="AU132" s="205"/>
      <c r="AV132" s="205"/>
      <c r="AW132" s="205"/>
      <c r="AX132" s="205"/>
      <c r="AY132" s="205"/>
      <c r="AZ132" s="205"/>
      <c r="BA132" s="251" t="s">
        <v>245</v>
      </c>
      <c r="BB132" s="251"/>
      <c r="BC132" s="251"/>
      <c r="BD132" s="251"/>
      <c r="BE132" s="251"/>
      <c r="BF132" s="251"/>
      <c r="BG132" s="251"/>
      <c r="BH132" s="252"/>
      <c r="BI132" s="117"/>
      <c r="BJ132" s="117"/>
      <c r="BK132" s="117"/>
      <c r="BL132" s="117"/>
      <c r="BM132" s="117"/>
      <c r="BN132" s="117"/>
      <c r="BO132" s="117"/>
      <c r="BP132" s="117"/>
      <c r="BQ132" s="117"/>
      <c r="BR132" s="117"/>
      <c r="BS132" s="117"/>
      <c r="BT132" s="117"/>
      <c r="BU132" s="117"/>
      <c r="BV132" s="117"/>
      <c r="BW132" s="117"/>
      <c r="BX132" s="117"/>
      <c r="BY132" s="117"/>
      <c r="BZ132" s="117"/>
      <c r="CA132" s="117"/>
      <c r="CB132" s="117"/>
      <c r="CC132" s="117"/>
      <c r="CD132" s="117"/>
      <c r="CE132" s="117"/>
      <c r="CF132" s="117"/>
      <c r="CG132" s="117"/>
      <c r="CH132" s="117"/>
      <c r="CI132" s="117"/>
      <c r="CJ132" s="117"/>
      <c r="CK132" s="117"/>
      <c r="CL132" s="117"/>
      <c r="CM132" s="117"/>
      <c r="CN132" s="117"/>
      <c r="CO132" s="117"/>
      <c r="CP132" s="117"/>
      <c r="CQ132" s="117"/>
      <c r="CR132" s="117"/>
      <c r="CS132" s="117"/>
      <c r="CT132" s="117"/>
      <c r="CU132" s="117"/>
      <c r="CV132" s="117"/>
      <c r="CW132" s="117"/>
      <c r="CX132" s="117"/>
      <c r="CY132" s="117"/>
      <c r="CZ132" s="117"/>
      <c r="DA132" s="117"/>
      <c r="DB132" s="118"/>
    </row>
    <row r="133" spans="1:106" s="88" customFormat="1" ht="12" customHeight="1">
      <c r="A133" s="241" t="s">
        <v>165</v>
      </c>
      <c r="B133" s="242"/>
      <c r="C133" s="242"/>
      <c r="D133" s="242"/>
      <c r="E133" s="242"/>
      <c r="F133" s="242"/>
      <c r="G133" s="242"/>
      <c r="H133" s="242"/>
      <c r="I133" s="242"/>
      <c r="J133" s="242"/>
      <c r="K133" s="242"/>
      <c r="L133" s="242"/>
      <c r="M133" s="242"/>
      <c r="N133" s="242"/>
      <c r="O133" s="242"/>
      <c r="P133" s="242"/>
      <c r="Q133" s="242"/>
      <c r="R133" s="242"/>
      <c r="S133" s="242"/>
      <c r="T133" s="242"/>
      <c r="U133" s="242"/>
      <c r="V133" s="242"/>
      <c r="W133" s="243"/>
      <c r="X133" s="244" t="s">
        <v>45</v>
      </c>
      <c r="Y133" s="245"/>
      <c r="Z133" s="245"/>
      <c r="AA133" s="245"/>
      <c r="AB133" s="246">
        <f ca="1">график!C20</f>
        <v>45444</v>
      </c>
      <c r="AC133" s="246"/>
      <c r="AD133" s="246"/>
      <c r="AE133" s="246"/>
      <c r="AF133" s="246"/>
      <c r="AG133" s="93" t="s">
        <v>1</v>
      </c>
      <c r="AH133" s="254">
        <f ca="1">график!E20</f>
        <v>45444</v>
      </c>
      <c r="AI133" s="247"/>
      <c r="AJ133" s="247"/>
      <c r="AK133" s="247"/>
      <c r="AL133" s="247"/>
      <c r="AM133" s="255" t="s">
        <v>158</v>
      </c>
      <c r="AN133" s="255"/>
      <c r="AO133" s="91" t="s">
        <v>28</v>
      </c>
      <c r="AP133" s="256">
        <f ca="1">график!F20</f>
        <v>1.0927</v>
      </c>
      <c r="AQ133" s="256"/>
      <c r="AR133" s="256"/>
      <c r="AS133" s="256"/>
      <c r="AT133" s="255" t="s">
        <v>159</v>
      </c>
      <c r="AU133" s="255"/>
      <c r="AV133" s="91" t="s">
        <v>28</v>
      </c>
      <c r="AW133" s="228">
        <f ca="1">график!G20</f>
        <v>1.0076000000000001</v>
      </c>
      <c r="AX133" s="228"/>
      <c r="AY133" s="228"/>
      <c r="AZ133" s="229"/>
      <c r="BA133" s="230"/>
      <c r="BB133" s="231"/>
      <c r="BC133" s="231"/>
      <c r="BD133" s="231"/>
      <c r="BE133" s="231"/>
      <c r="BF133" s="231"/>
      <c r="BG133" s="231"/>
      <c r="BH133" s="232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7"/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  <c r="CR133" s="87"/>
      <c r="CS133" s="87"/>
      <c r="CT133" s="87"/>
      <c r="CU133" s="87"/>
      <c r="CV133" s="87"/>
      <c r="CW133" s="87"/>
      <c r="CX133" s="87"/>
      <c r="CY133" s="87"/>
      <c r="CZ133" s="87"/>
      <c r="DA133" s="87"/>
      <c r="DB133" s="119"/>
    </row>
    <row r="134" spans="1:106" s="88" customFormat="1" ht="12" customHeight="1">
      <c r="A134" s="233" t="s">
        <v>239</v>
      </c>
      <c r="B134" s="234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5"/>
      <c r="X134" s="224" t="s">
        <v>22</v>
      </c>
      <c r="Y134" s="225"/>
      <c r="Z134" s="225"/>
      <c r="AA134" s="94" t="s">
        <v>28</v>
      </c>
      <c r="AB134" s="313">
        <v>3.8</v>
      </c>
      <c r="AC134" s="313"/>
      <c r="AD134" s="313"/>
      <c r="AE134" s="313"/>
      <c r="AF134" s="313"/>
      <c r="AG134" s="313"/>
      <c r="AH134" s="313"/>
      <c r="AI134" s="313"/>
      <c r="AJ134" s="313"/>
      <c r="AK134" s="313"/>
      <c r="AL134" s="313"/>
      <c r="AM134" s="313"/>
      <c r="AN134" s="313"/>
      <c r="AO134" s="313"/>
      <c r="AP134" s="313"/>
      <c r="AQ134" s="313"/>
      <c r="AR134" s="313"/>
      <c r="AS134" s="313"/>
      <c r="AT134" s="258"/>
      <c r="AU134" s="258"/>
      <c r="AV134" s="98"/>
      <c r="AW134" s="226"/>
      <c r="AX134" s="226"/>
      <c r="AY134" s="226"/>
      <c r="AZ134" s="227"/>
      <c r="BA134" s="210">
        <f>AB134</f>
        <v>3.8</v>
      </c>
      <c r="BB134" s="211"/>
      <c r="BC134" s="211"/>
      <c r="BD134" s="211"/>
      <c r="BE134" s="211"/>
      <c r="BF134" s="212" t="s">
        <v>163</v>
      </c>
      <c r="BG134" s="212"/>
      <c r="BH134" s="213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87"/>
      <c r="CD134" s="87"/>
      <c r="CE134" s="87"/>
      <c r="CF134" s="87"/>
      <c r="CG134" s="87"/>
      <c r="CH134" s="87"/>
      <c r="CI134" s="87"/>
      <c r="CJ134" s="87"/>
      <c r="CK134" s="87"/>
      <c r="CL134" s="87"/>
      <c r="CM134" s="87"/>
      <c r="CN134" s="87"/>
      <c r="CO134" s="87"/>
      <c r="CP134" s="87"/>
      <c r="CQ134" s="87"/>
      <c r="CR134" s="87"/>
      <c r="CS134" s="87"/>
      <c r="CT134" s="87"/>
      <c r="CU134" s="87"/>
      <c r="CV134" s="87"/>
      <c r="CW134" s="87"/>
      <c r="CX134" s="87"/>
      <c r="CY134" s="87"/>
      <c r="CZ134" s="87"/>
      <c r="DA134" s="87"/>
      <c r="DB134" s="119"/>
    </row>
    <row r="135" spans="1:106" s="88" customFormat="1" ht="12" customHeight="1">
      <c r="A135" s="278" t="s">
        <v>160</v>
      </c>
      <c r="B135" s="279"/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92"/>
      <c r="R135" s="280"/>
      <c r="S135" s="280"/>
      <c r="T135" s="145"/>
      <c r="U135" s="281"/>
      <c r="V135" s="282"/>
      <c r="W135" s="283"/>
      <c r="X135" s="224" t="s">
        <v>162</v>
      </c>
      <c r="Y135" s="225"/>
      <c r="Z135" s="225"/>
      <c r="AA135" s="94" t="s">
        <v>28</v>
      </c>
      <c r="AB135" s="226" t="str">
        <f ca="1">CONCATENATE(AB134," x ",$AO$17," x ", AP133," x [1 + 0,5 x (",AW133," - 1)]  = ")</f>
        <v xml:space="preserve">3,8 x 307,7 x 1,0927 x [1 + 0,5 x (1,0076 - 1)]  = </v>
      </c>
      <c r="AC135" s="226"/>
      <c r="AD135" s="226"/>
      <c r="AE135" s="226"/>
      <c r="AF135" s="226"/>
      <c r="AG135" s="226"/>
      <c r="AH135" s="226"/>
      <c r="AI135" s="226"/>
      <c r="AJ135" s="226"/>
      <c r="AK135" s="226"/>
      <c r="AL135" s="226"/>
      <c r="AM135" s="226"/>
      <c r="AN135" s="226"/>
      <c r="AO135" s="226"/>
      <c r="AP135" s="226"/>
      <c r="AQ135" s="226"/>
      <c r="AR135" s="226"/>
      <c r="AS135" s="226"/>
      <c r="AT135" s="226"/>
      <c r="AU135" s="226"/>
      <c r="AV135" s="226"/>
      <c r="AW135" s="226"/>
      <c r="AX135" s="226"/>
      <c r="AY135" s="226"/>
      <c r="AZ135" s="227"/>
      <c r="BA135" s="210">
        <f ca="1">ROUND(AB134*$AO$17*AP133*(1+0.5*(AW133-1)),2)</f>
        <v>1282.51</v>
      </c>
      <c r="BB135" s="211"/>
      <c r="BC135" s="211"/>
      <c r="BD135" s="211"/>
      <c r="BE135" s="211"/>
      <c r="BF135" s="212" t="s">
        <v>23</v>
      </c>
      <c r="BG135" s="212"/>
      <c r="BH135" s="213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7"/>
      <c r="CF135" s="87"/>
      <c r="CG135" s="87"/>
      <c r="CH135" s="87"/>
      <c r="CI135" s="87"/>
      <c r="CJ135" s="87"/>
      <c r="CK135" s="87"/>
      <c r="CL135" s="87"/>
      <c r="CM135" s="87"/>
      <c r="CN135" s="87"/>
      <c r="CO135" s="87"/>
      <c r="CP135" s="87"/>
      <c r="CQ135" s="87"/>
      <c r="CR135" s="87"/>
      <c r="CS135" s="87"/>
      <c r="CT135" s="87"/>
      <c r="CU135" s="87"/>
      <c r="CV135" s="87"/>
      <c r="CW135" s="87"/>
      <c r="CX135" s="87"/>
      <c r="CY135" s="87"/>
      <c r="CZ135" s="87"/>
      <c r="DA135" s="87"/>
      <c r="DB135" s="119"/>
    </row>
    <row r="136" spans="1:106" s="90" customFormat="1" ht="12" customHeight="1">
      <c r="A136" s="239" t="str">
        <f ca="1">график!A21</f>
        <v>5.4</v>
      </c>
      <c r="B136" s="240"/>
      <c r="C136" s="205" t="str">
        <f ca="1">график!B21</f>
        <v>организация мероприятий по удалению и (или) пересадке объектов растительного мира</v>
      </c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205"/>
      <c r="AP136" s="205"/>
      <c r="AQ136" s="205"/>
      <c r="AR136" s="205"/>
      <c r="AS136" s="205"/>
      <c r="AT136" s="205"/>
      <c r="AU136" s="205"/>
      <c r="AV136" s="205"/>
      <c r="AW136" s="205"/>
      <c r="AX136" s="205"/>
      <c r="AY136" s="205"/>
      <c r="AZ136" s="205"/>
      <c r="BA136" s="392" t="s">
        <v>245</v>
      </c>
      <c r="BB136" s="392"/>
      <c r="BC136" s="392"/>
      <c r="BD136" s="392"/>
      <c r="BE136" s="392"/>
      <c r="BF136" s="392"/>
      <c r="BG136" s="392"/>
      <c r="BH136" s="393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  <c r="BV136" s="117"/>
      <c r="BW136" s="117"/>
      <c r="BX136" s="117"/>
      <c r="BY136" s="117"/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7"/>
      <c r="CL136" s="117"/>
      <c r="CM136" s="117"/>
      <c r="CN136" s="117"/>
      <c r="CO136" s="117"/>
      <c r="CP136" s="117"/>
      <c r="CQ136" s="117"/>
      <c r="CR136" s="117"/>
      <c r="CS136" s="117"/>
      <c r="CT136" s="117"/>
      <c r="CU136" s="117"/>
      <c r="CV136" s="117"/>
      <c r="CW136" s="117"/>
      <c r="CX136" s="117"/>
      <c r="CY136" s="117"/>
      <c r="CZ136" s="117"/>
      <c r="DA136" s="117"/>
      <c r="DB136" s="118"/>
    </row>
    <row r="137" spans="1:106" s="88" customFormat="1" ht="12" customHeight="1">
      <c r="A137" s="241" t="s">
        <v>197</v>
      </c>
      <c r="B137" s="242"/>
      <c r="C137" s="242"/>
      <c r="D137" s="242"/>
      <c r="E137" s="242"/>
      <c r="F137" s="242"/>
      <c r="G137" s="242"/>
      <c r="H137" s="242"/>
      <c r="I137" s="242"/>
      <c r="J137" s="242"/>
      <c r="K137" s="242"/>
      <c r="L137" s="242"/>
      <c r="M137" s="242"/>
      <c r="N137" s="242"/>
      <c r="O137" s="242"/>
      <c r="P137" s="242"/>
      <c r="Q137" s="242"/>
      <c r="R137" s="242"/>
      <c r="S137" s="242"/>
      <c r="T137" s="242"/>
      <c r="U137" s="242"/>
      <c r="V137" s="242"/>
      <c r="W137" s="243"/>
      <c r="X137" s="244" t="s">
        <v>45</v>
      </c>
      <c r="Y137" s="245"/>
      <c r="Z137" s="245"/>
      <c r="AA137" s="245"/>
      <c r="AB137" s="253">
        <f ca="1">график!C21</f>
        <v>45474</v>
      </c>
      <c r="AC137" s="246"/>
      <c r="AD137" s="246"/>
      <c r="AE137" s="246"/>
      <c r="AF137" s="246"/>
      <c r="AG137" s="93" t="s">
        <v>1</v>
      </c>
      <c r="AH137" s="254">
        <f ca="1">график!E21</f>
        <v>45474</v>
      </c>
      <c r="AI137" s="247"/>
      <c r="AJ137" s="247"/>
      <c r="AK137" s="247"/>
      <c r="AL137" s="247"/>
      <c r="AM137" s="255" t="s">
        <v>158</v>
      </c>
      <c r="AN137" s="255"/>
      <c r="AO137" s="91" t="s">
        <v>28</v>
      </c>
      <c r="AP137" s="256">
        <f ca="1">график!F21</f>
        <v>1.101</v>
      </c>
      <c r="AQ137" s="256"/>
      <c r="AR137" s="256"/>
      <c r="AS137" s="256"/>
      <c r="AT137" s="255" t="s">
        <v>159</v>
      </c>
      <c r="AU137" s="255"/>
      <c r="AV137" s="91" t="s">
        <v>28</v>
      </c>
      <c r="AW137" s="228">
        <f ca="1">график!G21</f>
        <v>1.0076000000000001</v>
      </c>
      <c r="AX137" s="228"/>
      <c r="AY137" s="228"/>
      <c r="AZ137" s="229"/>
      <c r="BA137" s="401"/>
      <c r="BB137" s="402"/>
      <c r="BC137" s="402"/>
      <c r="BD137" s="402"/>
      <c r="BE137" s="402"/>
      <c r="BF137" s="402"/>
      <c r="BG137" s="402"/>
      <c r="BH137" s="403"/>
      <c r="BI137" s="87"/>
      <c r="BJ137" s="87"/>
      <c r="BK137" s="87"/>
      <c r="BL137" s="87"/>
      <c r="BM137" s="87"/>
      <c r="BN137" s="87"/>
      <c r="BO137" s="87"/>
      <c r="BP137" s="87"/>
      <c r="BQ137" s="87"/>
      <c r="BR137" s="87"/>
      <c r="BS137" s="87"/>
      <c r="BT137" s="87"/>
      <c r="BU137" s="87"/>
      <c r="BV137" s="87"/>
      <c r="BW137" s="87"/>
      <c r="BX137" s="87"/>
      <c r="BY137" s="87"/>
      <c r="BZ137" s="87"/>
      <c r="CA137" s="87"/>
      <c r="CB137" s="87"/>
      <c r="CC137" s="87"/>
      <c r="CD137" s="87"/>
      <c r="CE137" s="87"/>
      <c r="CF137" s="87"/>
      <c r="CG137" s="87"/>
      <c r="CH137" s="87"/>
      <c r="CI137" s="87"/>
      <c r="CJ137" s="87"/>
      <c r="CK137" s="87"/>
      <c r="CL137" s="87"/>
      <c r="CM137" s="87"/>
      <c r="CN137" s="87"/>
      <c r="CO137" s="87"/>
      <c r="CP137" s="87"/>
      <c r="CQ137" s="87"/>
      <c r="CR137" s="87"/>
      <c r="CS137" s="87"/>
      <c r="CT137" s="87"/>
      <c r="CU137" s="87"/>
      <c r="CV137" s="87"/>
      <c r="CW137" s="87"/>
      <c r="CX137" s="87"/>
      <c r="CY137" s="87"/>
      <c r="CZ137" s="87"/>
      <c r="DA137" s="87"/>
      <c r="DB137" s="119"/>
    </row>
    <row r="138" spans="1:106" s="88" customFormat="1" ht="12" customHeight="1">
      <c r="A138" s="306" t="s">
        <v>204</v>
      </c>
      <c r="B138" s="307"/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8"/>
      <c r="X138" s="208" t="s">
        <v>39</v>
      </c>
      <c r="Y138" s="209"/>
      <c r="Z138" s="209"/>
      <c r="AA138" s="44" t="s">
        <v>28</v>
      </c>
      <c r="AB138" s="226">
        <v>0.5</v>
      </c>
      <c r="AC138" s="226"/>
      <c r="AD138" s="226"/>
      <c r="AE138" s="226"/>
      <c r="AF138" s="248" t="s">
        <v>40</v>
      </c>
      <c r="AG138" s="209"/>
      <c r="AH138" s="209"/>
      <c r="AI138" s="209"/>
      <c r="AJ138" s="209"/>
      <c r="AK138" s="44" t="s">
        <v>28</v>
      </c>
      <c r="AL138" s="289">
        <v>4.9000000000000004</v>
      </c>
      <c r="AM138" s="290"/>
      <c r="AN138" s="290"/>
      <c r="AO138" s="290"/>
      <c r="AP138" s="290"/>
      <c r="AQ138" s="258"/>
      <c r="AR138" s="258"/>
      <c r="AS138" s="272"/>
      <c r="AT138" s="272"/>
      <c r="AU138" s="272"/>
      <c r="AV138" s="98"/>
      <c r="AW138" s="263"/>
      <c r="AX138" s="226"/>
      <c r="AY138" s="226"/>
      <c r="AZ138" s="227"/>
      <c r="BA138" s="210"/>
      <c r="BB138" s="211"/>
      <c r="BC138" s="211"/>
      <c r="BD138" s="211"/>
      <c r="BE138" s="211"/>
      <c r="BF138" s="212"/>
      <c r="BG138" s="212"/>
      <c r="BH138" s="213"/>
      <c r="BI138" s="87"/>
      <c r="BJ138" s="87"/>
      <c r="BK138" s="87"/>
      <c r="BL138" s="87"/>
      <c r="BM138" s="87"/>
      <c r="BN138" s="87"/>
      <c r="BO138" s="87"/>
      <c r="BP138" s="87"/>
      <c r="BQ138" s="87"/>
      <c r="BR138" s="87"/>
      <c r="BS138" s="87"/>
      <c r="BT138" s="87"/>
      <c r="BU138" s="87"/>
      <c r="BV138" s="87"/>
      <c r="BW138" s="87"/>
      <c r="BX138" s="87"/>
      <c r="BY138" s="87"/>
      <c r="BZ138" s="87"/>
      <c r="CA138" s="87"/>
      <c r="CB138" s="87"/>
      <c r="CC138" s="87"/>
      <c r="CD138" s="87"/>
      <c r="CE138" s="87"/>
      <c r="CF138" s="87"/>
      <c r="CG138" s="87"/>
      <c r="CH138" s="87"/>
      <c r="CI138" s="87"/>
      <c r="CJ138" s="87"/>
      <c r="CK138" s="87"/>
      <c r="CL138" s="87"/>
      <c r="CM138" s="87"/>
      <c r="CN138" s="87"/>
      <c r="CO138" s="87"/>
      <c r="CP138" s="87"/>
      <c r="CQ138" s="87"/>
      <c r="CR138" s="87"/>
      <c r="CS138" s="87"/>
      <c r="CT138" s="87"/>
      <c r="CU138" s="87"/>
      <c r="CV138" s="87"/>
      <c r="CW138" s="87"/>
      <c r="CX138" s="87"/>
      <c r="CY138" s="87"/>
      <c r="CZ138" s="87"/>
      <c r="DA138" s="87"/>
      <c r="DB138" s="119"/>
    </row>
    <row r="139" spans="1:106" s="88" customFormat="1" ht="12" customHeight="1">
      <c r="A139" s="306"/>
      <c r="B139" s="307"/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8"/>
      <c r="X139" s="208" t="s">
        <v>43</v>
      </c>
      <c r="Y139" s="209"/>
      <c r="Z139" s="209"/>
      <c r="AA139" s="44" t="s">
        <v>28</v>
      </c>
      <c r="AB139" s="226">
        <v>1</v>
      </c>
      <c r="AC139" s="226"/>
      <c r="AD139" s="226"/>
      <c r="AE139" s="226"/>
      <c r="AF139" s="248" t="s">
        <v>44</v>
      </c>
      <c r="AG139" s="209"/>
      <c r="AH139" s="209"/>
      <c r="AI139" s="209"/>
      <c r="AJ139" s="209"/>
      <c r="AK139" s="44" t="s">
        <v>28</v>
      </c>
      <c r="AL139" s="289">
        <v>5.2</v>
      </c>
      <c r="AM139" s="290"/>
      <c r="AN139" s="290"/>
      <c r="AO139" s="290"/>
      <c r="AP139" s="290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35"/>
      <c r="BA139" s="210"/>
      <c r="BB139" s="211"/>
      <c r="BC139" s="211"/>
      <c r="BD139" s="211"/>
      <c r="BE139" s="211"/>
      <c r="BF139" s="212"/>
      <c r="BG139" s="212"/>
      <c r="BH139" s="213"/>
      <c r="BI139" s="87"/>
      <c r="BJ139" s="87"/>
      <c r="BK139" s="87"/>
      <c r="BL139" s="87"/>
      <c r="BM139" s="87"/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/>
      <c r="BY139" s="87"/>
      <c r="BZ139" s="87"/>
      <c r="CA139" s="87"/>
      <c r="CB139" s="87"/>
      <c r="CC139" s="87"/>
      <c r="CD139" s="87"/>
      <c r="CE139" s="87"/>
      <c r="CF139" s="87"/>
      <c r="CG139" s="87"/>
      <c r="CH139" s="87"/>
      <c r="CI139" s="87"/>
      <c r="CJ139" s="87"/>
      <c r="CK139" s="87"/>
      <c r="CL139" s="87"/>
      <c r="CM139" s="87"/>
      <c r="CN139" s="87"/>
      <c r="CO139" s="87"/>
      <c r="CP139" s="87"/>
      <c r="CQ139" s="87"/>
      <c r="CR139" s="87"/>
      <c r="CS139" s="87"/>
      <c r="CT139" s="87"/>
      <c r="CU139" s="87"/>
      <c r="CV139" s="87"/>
      <c r="CW139" s="87"/>
      <c r="CX139" s="87"/>
      <c r="CY139" s="87"/>
      <c r="CZ139" s="87"/>
      <c r="DA139" s="87"/>
      <c r="DB139" s="119"/>
    </row>
    <row r="140" spans="1:106" s="88" customFormat="1" ht="12" customHeight="1">
      <c r="A140" s="306"/>
      <c r="B140" s="307"/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8"/>
      <c r="X140" s="224" t="s">
        <v>22</v>
      </c>
      <c r="Y140" s="225"/>
      <c r="Z140" s="225"/>
      <c r="AA140" s="94" t="s">
        <v>28</v>
      </c>
      <c r="AB140" s="226" t="str">
        <f>CONCATENATE(AL138," + [(",AL139," - ", AL138,") / (",AB139," - ", AB138,")] x (",D144," - ",AB138,")  = ")</f>
        <v xml:space="preserve">4,9 + [(5,2 - 4,9) / (1 - 0,5)] x (0,8 - 0,5)  = </v>
      </c>
      <c r="AC140" s="226"/>
      <c r="AD140" s="226"/>
      <c r="AE140" s="226"/>
      <c r="AF140" s="226"/>
      <c r="AG140" s="226"/>
      <c r="AH140" s="226"/>
      <c r="AI140" s="226"/>
      <c r="AJ140" s="226"/>
      <c r="AK140" s="226"/>
      <c r="AL140" s="226"/>
      <c r="AM140" s="226"/>
      <c r="AN140" s="226"/>
      <c r="AO140" s="226"/>
      <c r="AP140" s="226"/>
      <c r="AQ140" s="226"/>
      <c r="AR140" s="226"/>
      <c r="AS140" s="226"/>
      <c r="AT140" s="226"/>
      <c r="AU140" s="226"/>
      <c r="AV140" s="226"/>
      <c r="AW140" s="226"/>
      <c r="AX140" s="226"/>
      <c r="AY140" s="226"/>
      <c r="AZ140" s="227"/>
      <c r="BA140" s="210">
        <f>ROUND(AL138 + ((AL139-AL138) / (AB139-AB138)) * (D144-AB138),2)</f>
        <v>5.08</v>
      </c>
      <c r="BB140" s="211"/>
      <c r="BC140" s="211"/>
      <c r="BD140" s="211"/>
      <c r="BE140" s="211"/>
      <c r="BF140" s="212" t="s">
        <v>163</v>
      </c>
      <c r="BG140" s="212"/>
      <c r="BH140" s="213"/>
      <c r="BI140" s="87"/>
      <c r="BJ140" s="144" t="s">
        <v>171</v>
      </c>
      <c r="BK140" s="87"/>
      <c r="BL140" s="87"/>
      <c r="BM140" s="87"/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/>
      <c r="BY140" s="87"/>
      <c r="BZ140" s="87"/>
      <c r="CA140" s="87"/>
      <c r="CB140" s="87"/>
      <c r="CC140" s="87"/>
      <c r="CD140" s="87"/>
      <c r="CE140" s="87"/>
      <c r="CF140" s="87"/>
      <c r="CG140" s="87"/>
      <c r="CH140" s="87"/>
      <c r="CI140" s="87"/>
      <c r="CJ140" s="87"/>
      <c r="CK140" s="87"/>
      <c r="CL140" s="87"/>
      <c r="CM140" s="87"/>
      <c r="CN140" s="87"/>
      <c r="CO140" s="87"/>
      <c r="CP140" s="87"/>
      <c r="CQ140" s="87"/>
      <c r="CR140" s="87"/>
      <c r="CS140" s="87"/>
      <c r="CT140" s="87"/>
      <c r="CU140" s="87"/>
      <c r="CV140" s="87"/>
      <c r="CW140" s="87"/>
      <c r="CX140" s="87"/>
      <c r="CY140" s="87"/>
      <c r="CZ140" s="87"/>
      <c r="DA140" s="87"/>
      <c r="DB140" s="119"/>
    </row>
    <row r="141" spans="1:106" s="88" customFormat="1" ht="12" customHeight="1">
      <c r="A141" s="286" t="s">
        <v>198</v>
      </c>
      <c r="B141" s="287"/>
      <c r="C141" s="287"/>
      <c r="D141" s="287"/>
      <c r="E141" s="287"/>
      <c r="F141" s="287"/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8"/>
      <c r="X141" s="208" t="s">
        <v>199</v>
      </c>
      <c r="Y141" s="209"/>
      <c r="Z141" s="209"/>
      <c r="AA141" s="44" t="s">
        <v>28</v>
      </c>
      <c r="AB141" s="276">
        <v>0.6</v>
      </c>
      <c r="AC141" s="276"/>
      <c r="AD141" s="276"/>
      <c r="AE141" s="258" t="s">
        <v>184</v>
      </c>
      <c r="AF141" s="258"/>
      <c r="AG141" s="98" t="s">
        <v>28</v>
      </c>
      <c r="AH141" s="451">
        <f>D144</f>
        <v>0.8</v>
      </c>
      <c r="AI141" s="451"/>
      <c r="AJ141" s="451"/>
      <c r="AK141" s="248" t="s">
        <v>189</v>
      </c>
      <c r="AL141" s="248"/>
      <c r="AM141" s="44" t="s">
        <v>28</v>
      </c>
      <c r="AN141" s="226" t="str">
        <f>CONCATENATE("1 + (",AB141," - 1) x ",AH141," / ",D144)</f>
        <v>1 + (0,6 - 1) x 0,8 / 0,8</v>
      </c>
      <c r="AO141" s="226"/>
      <c r="AP141" s="226"/>
      <c r="AQ141" s="226"/>
      <c r="AR141" s="226"/>
      <c r="AS141" s="226"/>
      <c r="AT141" s="226"/>
      <c r="AU141" s="226"/>
      <c r="AV141" s="226"/>
      <c r="AW141" s="226"/>
      <c r="AX141" s="226"/>
      <c r="AY141" s="226"/>
      <c r="AZ141" s="110" t="s">
        <v>28</v>
      </c>
      <c r="BA141" s="284">
        <f>ROUND(1 + (AB141 - 1) *(AH141 / D144),2)</f>
        <v>0.6</v>
      </c>
      <c r="BB141" s="285"/>
      <c r="BC141" s="285"/>
      <c r="BD141" s="285"/>
      <c r="BE141" s="285"/>
      <c r="BF141" s="100"/>
      <c r="BG141" s="100"/>
      <c r="BH141" s="101"/>
      <c r="BI141" s="87"/>
      <c r="BJ141" s="87"/>
      <c r="BK141" s="87"/>
      <c r="BO141" s="87"/>
      <c r="BP141" s="87"/>
      <c r="BQ141" s="87"/>
      <c r="BR141" s="87"/>
      <c r="BS141" s="87"/>
      <c r="BT141" s="87"/>
      <c r="BU141" s="87"/>
      <c r="BV141" s="87"/>
      <c r="BW141" s="87"/>
      <c r="BX141" s="87"/>
      <c r="BY141" s="87"/>
      <c r="BZ141" s="87"/>
      <c r="CA141" s="87"/>
      <c r="CB141" s="87"/>
      <c r="CC141" s="87"/>
      <c r="CD141" s="87"/>
      <c r="CE141" s="87"/>
      <c r="CF141" s="87"/>
      <c r="CG141" s="87"/>
      <c r="CH141" s="87"/>
      <c r="CI141" s="87"/>
      <c r="CJ141" s="87"/>
      <c r="CK141" s="87"/>
      <c r="CL141" s="87"/>
      <c r="CM141" s="87"/>
      <c r="CN141" s="87"/>
      <c r="CO141" s="87"/>
      <c r="CP141" s="87"/>
      <c r="CQ141" s="87"/>
      <c r="CR141" s="87"/>
      <c r="CS141" s="87"/>
      <c r="CT141" s="87"/>
      <c r="CU141" s="87"/>
      <c r="CV141" s="87"/>
      <c r="CW141" s="87"/>
      <c r="CX141" s="87"/>
      <c r="CY141" s="87"/>
      <c r="CZ141" s="87"/>
      <c r="DA141" s="87"/>
      <c r="DB141" s="119"/>
    </row>
    <row r="142" spans="1:106" s="88" customFormat="1" ht="12" customHeight="1">
      <c r="A142" s="286" t="s">
        <v>200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8"/>
      <c r="X142" s="208" t="s">
        <v>183</v>
      </c>
      <c r="Y142" s="209"/>
      <c r="Z142" s="209"/>
      <c r="AA142" s="44" t="s">
        <v>28</v>
      </c>
      <c r="AB142" s="276">
        <v>1.1000000000000001</v>
      </c>
      <c r="AC142" s="276"/>
      <c r="AD142" s="276"/>
      <c r="AE142" s="258" t="s">
        <v>184</v>
      </c>
      <c r="AF142" s="258"/>
      <c r="AG142" s="98" t="s">
        <v>28</v>
      </c>
      <c r="AH142" s="451">
        <v>0.6</v>
      </c>
      <c r="AI142" s="451"/>
      <c r="AJ142" s="451"/>
      <c r="AK142" s="248" t="s">
        <v>189</v>
      </c>
      <c r="AL142" s="248"/>
      <c r="AM142" s="44" t="s">
        <v>28</v>
      </c>
      <c r="AN142" s="226" t="str">
        <f>CONCATENATE("1 + (",AB142," - 1) x ",AH142," / ",D144)</f>
        <v>1 + (1,1 - 1) x 0,6 / 0,8</v>
      </c>
      <c r="AO142" s="226"/>
      <c r="AP142" s="226"/>
      <c r="AQ142" s="226"/>
      <c r="AR142" s="226"/>
      <c r="AS142" s="226"/>
      <c r="AT142" s="226"/>
      <c r="AU142" s="226"/>
      <c r="AV142" s="226"/>
      <c r="AW142" s="226"/>
      <c r="AX142" s="226"/>
      <c r="AY142" s="226"/>
      <c r="AZ142" s="110" t="s">
        <v>28</v>
      </c>
      <c r="BA142" s="284">
        <f>ROUND(1 + (AB142 - 1) *(AH142 / D144),2)</f>
        <v>1.08</v>
      </c>
      <c r="BB142" s="285"/>
      <c r="BC142" s="285"/>
      <c r="BD142" s="285"/>
      <c r="BE142" s="285"/>
      <c r="BF142" s="100"/>
      <c r="BG142" s="100"/>
      <c r="BH142" s="101"/>
      <c r="BI142" s="87"/>
      <c r="BJ142" s="151">
        <f>(1+(BA141-1)+(BA142-1))</f>
        <v>0.68</v>
      </c>
      <c r="BK142" s="87"/>
      <c r="BO142" s="87"/>
      <c r="BP142" s="87"/>
      <c r="BQ142" s="87"/>
      <c r="BR142" s="87"/>
      <c r="BS142" s="87"/>
      <c r="BT142" s="87"/>
      <c r="BU142" s="87"/>
      <c r="BV142" s="87"/>
      <c r="BW142" s="87"/>
      <c r="BX142" s="87"/>
      <c r="BY142" s="87"/>
      <c r="BZ142" s="87"/>
      <c r="CA142" s="87"/>
      <c r="CB142" s="87"/>
      <c r="CC142" s="87"/>
      <c r="CD142" s="87"/>
      <c r="CE142" s="87"/>
      <c r="CF142" s="87"/>
      <c r="CG142" s="87"/>
      <c r="CH142" s="87"/>
      <c r="CI142" s="87"/>
      <c r="CJ142" s="87"/>
      <c r="CK142" s="87"/>
      <c r="CL142" s="87"/>
      <c r="CM142" s="87"/>
      <c r="CN142" s="87"/>
      <c r="CO142" s="87"/>
      <c r="CP142" s="87"/>
      <c r="CQ142" s="87"/>
      <c r="CR142" s="87"/>
      <c r="CS142" s="87"/>
      <c r="CT142" s="87"/>
      <c r="CU142" s="87"/>
      <c r="CV142" s="87"/>
      <c r="CW142" s="87"/>
      <c r="CX142" s="87"/>
      <c r="CY142" s="87"/>
      <c r="CZ142" s="87"/>
      <c r="DA142" s="87"/>
      <c r="DB142" s="119"/>
    </row>
    <row r="143" spans="1:106" s="88" customFormat="1" ht="12" customHeight="1">
      <c r="A143" s="129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1"/>
      <c r="X143" s="224" t="s">
        <v>190</v>
      </c>
      <c r="Y143" s="225"/>
      <c r="Z143" s="225"/>
      <c r="AA143" s="94" t="s">
        <v>28</v>
      </c>
      <c r="AB143" s="226" t="str">
        <f>CONCATENATE(BA140," x [1 + (",BA141," - 1) + (",BA142," - 1)] = ",BA140," x ",BJ142," = ")</f>
        <v xml:space="preserve">5,08 x [1 + (0,6 - 1) + (1,08 - 1)] = 5,08 x 0,68 = </v>
      </c>
      <c r="AC143" s="226"/>
      <c r="AD143" s="226"/>
      <c r="AE143" s="226"/>
      <c r="AF143" s="226"/>
      <c r="AG143" s="226"/>
      <c r="AH143" s="226"/>
      <c r="AI143" s="226"/>
      <c r="AJ143" s="226"/>
      <c r="AK143" s="226"/>
      <c r="AL143" s="226"/>
      <c r="AM143" s="226"/>
      <c r="AN143" s="226"/>
      <c r="AO143" s="226"/>
      <c r="AP143" s="226"/>
      <c r="AQ143" s="226"/>
      <c r="AR143" s="226"/>
      <c r="AS143" s="226"/>
      <c r="AT143" s="226"/>
      <c r="AU143" s="226"/>
      <c r="AV143" s="226"/>
      <c r="AW143" s="226"/>
      <c r="AX143" s="226"/>
      <c r="AY143" s="226"/>
      <c r="AZ143" s="227"/>
      <c r="BA143" s="210">
        <f>ROUND(BA140*BJ142,2)</f>
        <v>3.45</v>
      </c>
      <c r="BB143" s="211"/>
      <c r="BC143" s="211"/>
      <c r="BD143" s="211"/>
      <c r="BE143" s="211"/>
      <c r="BF143" s="212" t="s">
        <v>163</v>
      </c>
      <c r="BG143" s="212"/>
      <c r="BH143" s="213"/>
      <c r="BI143" s="87"/>
      <c r="BJ143" s="144"/>
      <c r="BK143" s="87"/>
      <c r="BL143" s="87"/>
      <c r="BM143" s="87"/>
      <c r="BN143" s="87"/>
      <c r="BO143" s="87"/>
      <c r="BP143" s="87"/>
      <c r="BQ143" s="87"/>
      <c r="BR143" s="87"/>
      <c r="BS143" s="87"/>
      <c r="BT143" s="87"/>
      <c r="BU143" s="87"/>
      <c r="BV143" s="87"/>
      <c r="BW143" s="87"/>
      <c r="BX143" s="87"/>
      <c r="BY143" s="87"/>
      <c r="BZ143" s="87"/>
      <c r="CA143" s="87"/>
      <c r="CB143" s="87"/>
      <c r="CC143" s="87"/>
      <c r="CD143" s="87"/>
      <c r="CE143" s="87"/>
      <c r="CF143" s="87"/>
      <c r="CG143" s="87"/>
      <c r="CH143" s="87"/>
      <c r="CI143" s="87"/>
      <c r="CJ143" s="87"/>
      <c r="CK143" s="87"/>
      <c r="CL143" s="87"/>
      <c r="CM143" s="87"/>
      <c r="CN143" s="87"/>
      <c r="CO143" s="87"/>
      <c r="CP143" s="87"/>
      <c r="CQ143" s="87"/>
      <c r="CR143" s="87"/>
      <c r="CS143" s="87"/>
      <c r="CT143" s="87"/>
      <c r="CU143" s="87"/>
      <c r="CV143" s="87"/>
      <c r="CW143" s="87"/>
      <c r="CX143" s="87"/>
      <c r="CY143" s="87"/>
      <c r="CZ143" s="87"/>
      <c r="DA143" s="87"/>
      <c r="DB143" s="119"/>
    </row>
    <row r="144" spans="1:106" s="88" customFormat="1" ht="12" customHeight="1">
      <c r="A144" s="214" t="s">
        <v>170</v>
      </c>
      <c r="B144" s="215"/>
      <c r="C144" s="113" t="s">
        <v>28</v>
      </c>
      <c r="D144" s="411">
        <v>0.8</v>
      </c>
      <c r="E144" s="411"/>
      <c r="F144" s="411"/>
      <c r="G144" s="411"/>
      <c r="H144" s="411"/>
      <c r="I144" s="120"/>
      <c r="J144" s="120"/>
      <c r="K144" s="120"/>
      <c r="L144" s="120"/>
      <c r="M144" s="120"/>
      <c r="N144" s="120"/>
      <c r="O144" s="120"/>
      <c r="P144" s="120"/>
      <c r="Q144" s="120"/>
      <c r="R144" s="215"/>
      <c r="S144" s="215"/>
      <c r="T144" s="113"/>
      <c r="U144" s="217"/>
      <c r="V144" s="218"/>
      <c r="W144" s="219"/>
      <c r="X144" s="220" t="s">
        <v>162</v>
      </c>
      <c r="Y144" s="221"/>
      <c r="Z144" s="221"/>
      <c r="AA144" s="97" t="s">
        <v>28</v>
      </c>
      <c r="AB144" s="222" t="str">
        <f ca="1">CONCATENATE(BA143," x ",$AO$17," x ", AP137," x [1 + 0,5 x (",AW137," - 1)]  = ")</f>
        <v xml:space="preserve">3,45 x 307,7 x 1,101 x [1 + 0,5 x (1,0076 - 1)]  = </v>
      </c>
      <c r="AC144" s="222"/>
      <c r="AD144" s="222"/>
      <c r="AE144" s="222"/>
      <c r="AF144" s="222"/>
      <c r="AG144" s="222"/>
      <c r="AH144" s="222"/>
      <c r="AI144" s="222"/>
      <c r="AJ144" s="222"/>
      <c r="AK144" s="222"/>
      <c r="AL144" s="222"/>
      <c r="AM144" s="222"/>
      <c r="AN144" s="222"/>
      <c r="AO144" s="222"/>
      <c r="AP144" s="222"/>
      <c r="AQ144" s="222"/>
      <c r="AR144" s="222"/>
      <c r="AS144" s="222"/>
      <c r="AT144" s="222"/>
      <c r="AU144" s="222"/>
      <c r="AV144" s="222"/>
      <c r="AW144" s="222"/>
      <c r="AX144" s="222"/>
      <c r="AY144" s="222"/>
      <c r="AZ144" s="223"/>
      <c r="BA144" s="268">
        <f ca="1">ROUND(BA143*$AO$17*AP137*(1+0.5*(AW137-1)),2)</f>
        <v>1173.22</v>
      </c>
      <c r="BB144" s="269"/>
      <c r="BC144" s="269"/>
      <c r="BD144" s="269"/>
      <c r="BE144" s="269"/>
      <c r="BF144" s="270" t="s">
        <v>23</v>
      </c>
      <c r="BG144" s="270"/>
      <c r="BH144" s="271"/>
      <c r="BI144" s="87"/>
      <c r="BJ144" s="87"/>
      <c r="BK144" s="87"/>
      <c r="BL144" s="87"/>
      <c r="BM144" s="87"/>
      <c r="BN144" s="87"/>
      <c r="BO144" s="87"/>
      <c r="BP144" s="87"/>
      <c r="BQ144" s="87"/>
      <c r="BR144" s="87"/>
      <c r="BS144" s="87"/>
      <c r="BT144" s="87"/>
      <c r="BU144" s="87"/>
      <c r="BV144" s="87"/>
      <c r="BW144" s="87"/>
      <c r="BX144" s="87"/>
      <c r="BY144" s="87"/>
      <c r="BZ144" s="87"/>
      <c r="CA144" s="87"/>
      <c r="CB144" s="87"/>
      <c r="CC144" s="87"/>
      <c r="CD144" s="87"/>
      <c r="CE144" s="87"/>
      <c r="CF144" s="87"/>
      <c r="CG144" s="87"/>
      <c r="CH144" s="87"/>
      <c r="CI144" s="87"/>
      <c r="CJ144" s="87"/>
      <c r="CK144" s="87"/>
      <c r="CL144" s="87"/>
      <c r="CM144" s="87"/>
      <c r="CN144" s="87"/>
      <c r="CO144" s="87"/>
      <c r="CP144" s="87"/>
      <c r="CQ144" s="87"/>
      <c r="CR144" s="87"/>
      <c r="CS144" s="87"/>
      <c r="CT144" s="87"/>
      <c r="CU144" s="87"/>
      <c r="CV144" s="87"/>
      <c r="CW144" s="87"/>
      <c r="CX144" s="87"/>
      <c r="CY144" s="87"/>
      <c r="CZ144" s="87"/>
      <c r="DA144" s="87"/>
      <c r="DB144" s="119"/>
    </row>
    <row r="145" spans="1:106" s="90" customFormat="1" ht="12" customHeight="1">
      <c r="A145" s="239" t="str">
        <f ca="1">график!A22</f>
        <v>5.5</v>
      </c>
      <c r="B145" s="240"/>
      <c r="C145" s="205" t="str">
        <f ca="1">график!B22</f>
        <v>организация геодезических работ</v>
      </c>
      <c r="D145" s="205"/>
      <c r="E145" s="205"/>
      <c r="F145" s="205"/>
      <c r="G145" s="205"/>
      <c r="H145" s="205"/>
      <c r="I145" s="205"/>
      <c r="J145" s="205"/>
      <c r="K145" s="205"/>
      <c r="L145" s="205"/>
      <c r="M145" s="205"/>
      <c r="N145" s="205"/>
      <c r="O145" s="205"/>
      <c r="P145" s="205"/>
      <c r="Q145" s="205"/>
      <c r="R145" s="205"/>
      <c r="S145" s="205"/>
      <c r="T145" s="205"/>
      <c r="U145" s="205"/>
      <c r="V145" s="205"/>
      <c r="W145" s="205"/>
      <c r="X145" s="205"/>
      <c r="Y145" s="205"/>
      <c r="Z145" s="205"/>
      <c r="AA145" s="205"/>
      <c r="AB145" s="205"/>
      <c r="AC145" s="205"/>
      <c r="AD145" s="205"/>
      <c r="AE145" s="205"/>
      <c r="AF145" s="205"/>
      <c r="AG145" s="205"/>
      <c r="AH145" s="205"/>
      <c r="AI145" s="205"/>
      <c r="AJ145" s="205"/>
      <c r="AK145" s="205"/>
      <c r="AL145" s="205"/>
      <c r="AM145" s="205"/>
      <c r="AN145" s="205"/>
      <c r="AO145" s="205"/>
      <c r="AP145" s="205"/>
      <c r="AQ145" s="205"/>
      <c r="AR145" s="205"/>
      <c r="AS145" s="205"/>
      <c r="AT145" s="205"/>
      <c r="AU145" s="205"/>
      <c r="AV145" s="205"/>
      <c r="AW145" s="205"/>
      <c r="AX145" s="205"/>
      <c r="AY145" s="205"/>
      <c r="AZ145" s="205"/>
      <c r="BA145" s="392" t="s">
        <v>245</v>
      </c>
      <c r="BB145" s="392"/>
      <c r="BC145" s="392"/>
      <c r="BD145" s="392"/>
      <c r="BE145" s="392"/>
      <c r="BF145" s="392"/>
      <c r="BG145" s="392"/>
      <c r="BH145" s="393"/>
      <c r="BI145" s="117"/>
      <c r="BJ145" s="117"/>
      <c r="BK145" s="117"/>
      <c r="BL145" s="117"/>
      <c r="BM145" s="117"/>
      <c r="BN145" s="117"/>
      <c r="BO145" s="117"/>
      <c r="BP145" s="117"/>
      <c r="BQ145" s="117"/>
      <c r="BR145" s="117"/>
      <c r="BS145" s="117"/>
      <c r="BT145" s="117"/>
      <c r="BU145" s="117"/>
      <c r="BV145" s="117"/>
      <c r="BW145" s="117"/>
      <c r="BX145" s="117"/>
      <c r="BY145" s="117"/>
      <c r="BZ145" s="117"/>
      <c r="CA145" s="117"/>
      <c r="CB145" s="117"/>
      <c r="CC145" s="117"/>
      <c r="CD145" s="117"/>
      <c r="CE145" s="117"/>
      <c r="CF145" s="117"/>
      <c r="CG145" s="117"/>
      <c r="CH145" s="117"/>
      <c r="CI145" s="117"/>
      <c r="CJ145" s="117"/>
      <c r="CK145" s="117"/>
      <c r="CL145" s="117"/>
      <c r="CM145" s="117"/>
      <c r="CN145" s="117"/>
      <c r="CO145" s="117"/>
      <c r="CP145" s="117"/>
      <c r="CQ145" s="117"/>
      <c r="CR145" s="117"/>
      <c r="CS145" s="117"/>
      <c r="CT145" s="117"/>
      <c r="CU145" s="117"/>
      <c r="CV145" s="117"/>
      <c r="CW145" s="117"/>
      <c r="CX145" s="117"/>
      <c r="CY145" s="117"/>
      <c r="CZ145" s="117"/>
      <c r="DA145" s="117"/>
      <c r="DB145" s="118"/>
    </row>
    <row r="146" spans="1:106" s="88" customFormat="1" ht="12" customHeight="1">
      <c r="A146" s="241" t="s">
        <v>202</v>
      </c>
      <c r="B146" s="242"/>
      <c r="C146" s="242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  <c r="Q146" s="242"/>
      <c r="R146" s="242"/>
      <c r="S146" s="242"/>
      <c r="T146" s="242"/>
      <c r="U146" s="242"/>
      <c r="V146" s="242"/>
      <c r="W146" s="243"/>
      <c r="X146" s="244" t="s">
        <v>45</v>
      </c>
      <c r="Y146" s="245"/>
      <c r="Z146" s="245"/>
      <c r="AA146" s="245"/>
      <c r="AB146" s="253">
        <f ca="1">график!C22</f>
        <v>45474</v>
      </c>
      <c r="AC146" s="246"/>
      <c r="AD146" s="246"/>
      <c r="AE146" s="246"/>
      <c r="AF146" s="246"/>
      <c r="AG146" s="93" t="s">
        <v>1</v>
      </c>
      <c r="AH146" s="247">
        <f ca="1">график!E22</f>
        <v>45505</v>
      </c>
      <c r="AI146" s="247"/>
      <c r="AJ146" s="247"/>
      <c r="AK146" s="247"/>
      <c r="AL146" s="247"/>
      <c r="AM146" s="255" t="s">
        <v>158</v>
      </c>
      <c r="AN146" s="255"/>
      <c r="AO146" s="91" t="s">
        <v>28</v>
      </c>
      <c r="AP146" s="256">
        <f ca="1">график!F22</f>
        <v>1.101</v>
      </c>
      <c r="AQ146" s="256"/>
      <c r="AR146" s="256"/>
      <c r="AS146" s="256"/>
      <c r="AT146" s="255" t="s">
        <v>159</v>
      </c>
      <c r="AU146" s="255"/>
      <c r="AV146" s="91" t="s">
        <v>28</v>
      </c>
      <c r="AW146" s="228">
        <f ca="1">график!G22</f>
        <v>1.0153000000000001</v>
      </c>
      <c r="AX146" s="228"/>
      <c r="AY146" s="228"/>
      <c r="AZ146" s="229"/>
      <c r="BA146" s="401"/>
      <c r="BB146" s="402"/>
      <c r="BC146" s="402"/>
      <c r="BD146" s="402"/>
      <c r="BE146" s="402"/>
      <c r="BF146" s="402"/>
      <c r="BG146" s="402"/>
      <c r="BH146" s="403"/>
      <c r="BI146" s="87"/>
      <c r="BJ146" s="87"/>
      <c r="BK146" s="87"/>
      <c r="BL146" s="87"/>
      <c r="BM146" s="87"/>
      <c r="BN146" s="87"/>
      <c r="BO146" s="87"/>
      <c r="BP146" s="87"/>
      <c r="BQ146" s="87"/>
      <c r="BR146" s="87"/>
      <c r="BS146" s="87"/>
      <c r="BT146" s="87"/>
      <c r="BU146" s="87"/>
      <c r="BV146" s="87"/>
      <c r="BW146" s="87"/>
      <c r="BX146" s="87"/>
      <c r="BY146" s="87"/>
      <c r="BZ146" s="87"/>
      <c r="CA146" s="87"/>
      <c r="CB146" s="87"/>
      <c r="CC146" s="87"/>
      <c r="CD146" s="87"/>
      <c r="CE146" s="87"/>
      <c r="CF146" s="87"/>
      <c r="CG146" s="87"/>
      <c r="CH146" s="87"/>
      <c r="CI146" s="87"/>
      <c r="CJ146" s="87"/>
      <c r="CK146" s="87"/>
      <c r="CL146" s="87"/>
      <c r="CM146" s="87"/>
      <c r="CN146" s="87"/>
      <c r="CO146" s="87"/>
      <c r="CP146" s="87"/>
      <c r="CQ146" s="87"/>
      <c r="CR146" s="87"/>
      <c r="CS146" s="87"/>
      <c r="CT146" s="87"/>
      <c r="CU146" s="87"/>
      <c r="CV146" s="87"/>
      <c r="CW146" s="87"/>
      <c r="CX146" s="87"/>
      <c r="CY146" s="87"/>
      <c r="CZ146" s="87"/>
      <c r="DA146" s="87"/>
      <c r="DB146" s="119"/>
    </row>
    <row r="147" spans="1:106" s="88" customFormat="1" ht="12" customHeight="1">
      <c r="A147" s="306" t="s">
        <v>203</v>
      </c>
      <c r="B147" s="307"/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8"/>
      <c r="X147" s="208" t="s">
        <v>39</v>
      </c>
      <c r="Y147" s="209"/>
      <c r="Z147" s="209"/>
      <c r="AA147" s="44" t="s">
        <v>28</v>
      </c>
      <c r="AB147" s="258">
        <v>0.5</v>
      </c>
      <c r="AC147" s="258"/>
      <c r="AD147" s="258"/>
      <c r="AE147" s="258"/>
      <c r="AF147" s="248" t="s">
        <v>40</v>
      </c>
      <c r="AG147" s="209"/>
      <c r="AH147" s="209"/>
      <c r="AI147" s="209"/>
      <c r="AJ147" s="209"/>
      <c r="AK147" s="44" t="s">
        <v>28</v>
      </c>
      <c r="AL147" s="289">
        <v>6.1</v>
      </c>
      <c r="AM147" s="290"/>
      <c r="AN147" s="290"/>
      <c r="AO147" s="290"/>
      <c r="AP147" s="290"/>
      <c r="AQ147" s="108"/>
      <c r="AR147" s="108"/>
      <c r="AS147" s="108"/>
      <c r="AT147" s="108"/>
      <c r="AU147" s="108"/>
      <c r="AV147" s="108"/>
      <c r="AW147" s="108"/>
      <c r="AX147" s="108"/>
      <c r="AY147" s="108"/>
      <c r="AZ147" s="135"/>
      <c r="BA147" s="210"/>
      <c r="BB147" s="211"/>
      <c r="BC147" s="211"/>
      <c r="BD147" s="211"/>
      <c r="BE147" s="211"/>
      <c r="BF147" s="212"/>
      <c r="BG147" s="212"/>
      <c r="BH147" s="213"/>
      <c r="BI147" s="87"/>
      <c r="BJ147" s="87"/>
      <c r="BK147" s="87"/>
      <c r="BL147" s="87"/>
      <c r="BM147" s="87"/>
      <c r="BN147" s="87"/>
      <c r="BO147" s="87"/>
      <c r="BP147" s="87"/>
      <c r="BQ147" s="87"/>
      <c r="BR147" s="87"/>
      <c r="BS147" s="87"/>
      <c r="BT147" s="87"/>
      <c r="BU147" s="87"/>
      <c r="BV147" s="87"/>
      <c r="BW147" s="87"/>
      <c r="BX147" s="87"/>
      <c r="BY147" s="87"/>
      <c r="BZ147" s="87"/>
      <c r="CA147" s="87"/>
      <c r="CB147" s="87"/>
      <c r="CC147" s="87"/>
      <c r="CD147" s="87"/>
      <c r="CE147" s="87"/>
      <c r="CF147" s="87"/>
      <c r="CG147" s="87"/>
      <c r="CH147" s="87"/>
      <c r="CI147" s="87"/>
      <c r="CJ147" s="87"/>
      <c r="CK147" s="87"/>
      <c r="CL147" s="87"/>
      <c r="CM147" s="87"/>
      <c r="CN147" s="87"/>
      <c r="CO147" s="87"/>
      <c r="CP147" s="87"/>
      <c r="CQ147" s="87"/>
      <c r="CR147" s="87"/>
      <c r="CS147" s="87"/>
      <c r="CT147" s="87"/>
      <c r="CU147" s="87"/>
      <c r="CV147" s="87"/>
      <c r="CW147" s="87"/>
      <c r="CX147" s="87"/>
      <c r="CY147" s="87"/>
      <c r="CZ147" s="87"/>
      <c r="DA147" s="87"/>
      <c r="DB147" s="119"/>
    </row>
    <row r="148" spans="1:106" s="88" customFormat="1" ht="12" customHeight="1">
      <c r="A148" s="306"/>
      <c r="B148" s="307"/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8"/>
      <c r="X148" s="208" t="s">
        <v>43</v>
      </c>
      <c r="Y148" s="209"/>
      <c r="Z148" s="209"/>
      <c r="AA148" s="44" t="s">
        <v>28</v>
      </c>
      <c r="AB148" s="258">
        <v>1</v>
      </c>
      <c r="AC148" s="258"/>
      <c r="AD148" s="258"/>
      <c r="AE148" s="258"/>
      <c r="AF148" s="248" t="s">
        <v>44</v>
      </c>
      <c r="AG148" s="209"/>
      <c r="AH148" s="209"/>
      <c r="AI148" s="209"/>
      <c r="AJ148" s="209"/>
      <c r="AK148" s="44" t="s">
        <v>28</v>
      </c>
      <c r="AL148" s="289">
        <v>6.4</v>
      </c>
      <c r="AM148" s="290"/>
      <c r="AN148" s="290"/>
      <c r="AO148" s="290"/>
      <c r="AP148" s="290"/>
      <c r="AQ148" s="108"/>
      <c r="AR148" s="108"/>
      <c r="AS148" s="108"/>
      <c r="AT148" s="108"/>
      <c r="AU148" s="108"/>
      <c r="AV148" s="108"/>
      <c r="AW148" s="108"/>
      <c r="AX148" s="108"/>
      <c r="AY148" s="108"/>
      <c r="AZ148" s="135"/>
      <c r="BA148" s="210"/>
      <c r="BB148" s="211"/>
      <c r="BC148" s="211"/>
      <c r="BD148" s="211"/>
      <c r="BE148" s="211"/>
      <c r="BF148" s="212"/>
      <c r="BG148" s="212"/>
      <c r="BH148" s="213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  <c r="BU148" s="87"/>
      <c r="BV148" s="87"/>
      <c r="BW148" s="87"/>
      <c r="BX148" s="87"/>
      <c r="BY148" s="87"/>
      <c r="BZ148" s="87"/>
      <c r="CA148" s="87"/>
      <c r="CB148" s="87"/>
      <c r="CC148" s="87"/>
      <c r="CD148" s="87"/>
      <c r="CE148" s="87"/>
      <c r="CF148" s="87"/>
      <c r="CG148" s="87"/>
      <c r="CH148" s="87"/>
      <c r="CI148" s="87"/>
      <c r="CJ148" s="87"/>
      <c r="CK148" s="87"/>
      <c r="CL148" s="87"/>
      <c r="CM148" s="87"/>
      <c r="CN148" s="87"/>
      <c r="CO148" s="87"/>
      <c r="CP148" s="87"/>
      <c r="CQ148" s="87"/>
      <c r="CR148" s="87"/>
      <c r="CS148" s="87"/>
      <c r="CT148" s="87"/>
      <c r="CU148" s="87"/>
      <c r="CV148" s="87"/>
      <c r="CW148" s="87"/>
      <c r="CX148" s="87"/>
      <c r="CY148" s="87"/>
      <c r="CZ148" s="87"/>
      <c r="DA148" s="87"/>
      <c r="DB148" s="119"/>
    </row>
    <row r="149" spans="1:106" s="88" customFormat="1" ht="12" customHeight="1">
      <c r="A149" s="306"/>
      <c r="B149" s="307"/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8"/>
      <c r="X149" s="224" t="s">
        <v>22</v>
      </c>
      <c r="Y149" s="225"/>
      <c r="Z149" s="225"/>
      <c r="AA149" s="94" t="s">
        <v>28</v>
      </c>
      <c r="AB149" s="226" t="str">
        <f>CONCATENATE(AL147," + [ (",AL148," - ", AL147,") / (",AB148," - ", AB147,") ] x  (",D150," - ",AB147,") = ")</f>
        <v xml:space="preserve">6,1 + [ (6,4 - 6,1) / (1 - 0,5) ] x  (0,8 - 0,5) = </v>
      </c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6"/>
      <c r="AM149" s="226"/>
      <c r="AN149" s="226"/>
      <c r="AO149" s="226"/>
      <c r="AP149" s="226"/>
      <c r="AQ149" s="226"/>
      <c r="AR149" s="226"/>
      <c r="AS149" s="226"/>
      <c r="AT149" s="226"/>
      <c r="AU149" s="226"/>
      <c r="AV149" s="226"/>
      <c r="AW149" s="226"/>
      <c r="AX149" s="226"/>
      <c r="AY149" s="226"/>
      <c r="AZ149" s="227"/>
      <c r="BA149" s="210">
        <f>ROUND(AL147 + ((AL148-AL147) / (AB148-AB147)) * (D150-AB147),2)</f>
        <v>6.28</v>
      </c>
      <c r="BB149" s="211"/>
      <c r="BC149" s="211"/>
      <c r="BD149" s="211"/>
      <c r="BE149" s="211"/>
      <c r="BF149" s="212" t="s">
        <v>163</v>
      </c>
      <c r="BG149" s="212"/>
      <c r="BH149" s="213"/>
      <c r="BI149" s="87"/>
      <c r="BJ149" s="144" t="s">
        <v>171</v>
      </c>
      <c r="BK149" s="87"/>
      <c r="BL149" s="87"/>
      <c r="BM149" s="87"/>
      <c r="BN149" s="87"/>
      <c r="BO149" s="87"/>
      <c r="BP149" s="87"/>
      <c r="BQ149" s="87"/>
      <c r="BR149" s="87"/>
      <c r="BS149" s="87"/>
      <c r="BT149" s="87"/>
      <c r="BU149" s="87"/>
      <c r="BV149" s="87"/>
      <c r="BW149" s="87"/>
      <c r="BX149" s="87"/>
      <c r="BY149" s="87"/>
      <c r="BZ149" s="87"/>
      <c r="CA149" s="87"/>
      <c r="CB149" s="87"/>
      <c r="CC149" s="87"/>
      <c r="CD149" s="87"/>
      <c r="CE149" s="87"/>
      <c r="CF149" s="87"/>
      <c r="CG149" s="87"/>
      <c r="CH149" s="87"/>
      <c r="CI149" s="87"/>
      <c r="CJ149" s="87"/>
      <c r="CK149" s="87"/>
      <c r="CL149" s="87"/>
      <c r="CM149" s="87"/>
      <c r="CN149" s="87"/>
      <c r="CO149" s="87"/>
      <c r="CP149" s="87"/>
      <c r="CQ149" s="87"/>
      <c r="CR149" s="87"/>
      <c r="CS149" s="87"/>
      <c r="CT149" s="87"/>
      <c r="CU149" s="87"/>
      <c r="CV149" s="87"/>
      <c r="CW149" s="87"/>
      <c r="CX149" s="87"/>
      <c r="CY149" s="87"/>
      <c r="CZ149" s="87"/>
      <c r="DA149" s="87"/>
      <c r="DB149" s="119"/>
    </row>
    <row r="150" spans="1:106" s="88" customFormat="1" ht="12" customHeight="1">
      <c r="A150" s="214" t="s">
        <v>170</v>
      </c>
      <c r="B150" s="215"/>
      <c r="C150" s="113" t="s">
        <v>28</v>
      </c>
      <c r="D150" s="411">
        <v>0.8</v>
      </c>
      <c r="E150" s="411"/>
      <c r="F150" s="411"/>
      <c r="G150" s="411"/>
      <c r="H150" s="411"/>
      <c r="I150" s="120"/>
      <c r="J150" s="120"/>
      <c r="K150" s="120"/>
      <c r="L150" s="120"/>
      <c r="M150" s="120"/>
      <c r="N150" s="120"/>
      <c r="O150" s="120"/>
      <c r="P150" s="120"/>
      <c r="Q150" s="120"/>
      <c r="R150" s="215"/>
      <c r="S150" s="215"/>
      <c r="T150" s="113"/>
      <c r="U150" s="217"/>
      <c r="V150" s="218"/>
      <c r="W150" s="219"/>
      <c r="X150" s="220" t="s">
        <v>162</v>
      </c>
      <c r="Y150" s="221"/>
      <c r="Z150" s="221"/>
      <c r="AA150" s="97" t="s">
        <v>28</v>
      </c>
      <c r="AB150" s="222" t="str">
        <f ca="1">CONCATENATE(BA149," x ",$AO$17," x ", AP146," x [1 + 0,5 x (",AW146," - 1)]  = ")</f>
        <v xml:space="preserve">6,28 x 307,7 x 1,101 x [1 + 0,5 x (1,0153 - 1)]  = </v>
      </c>
      <c r="AC150" s="222"/>
      <c r="AD150" s="222"/>
      <c r="AE150" s="222"/>
      <c r="AF150" s="222"/>
      <c r="AG150" s="222"/>
      <c r="AH150" s="222"/>
      <c r="AI150" s="222"/>
      <c r="AJ150" s="222"/>
      <c r="AK150" s="222"/>
      <c r="AL150" s="222"/>
      <c r="AM150" s="222"/>
      <c r="AN150" s="222"/>
      <c r="AO150" s="222"/>
      <c r="AP150" s="222"/>
      <c r="AQ150" s="222"/>
      <c r="AR150" s="222"/>
      <c r="AS150" s="222"/>
      <c r="AT150" s="222"/>
      <c r="AU150" s="222"/>
      <c r="AV150" s="222"/>
      <c r="AW150" s="222"/>
      <c r="AX150" s="222"/>
      <c r="AY150" s="222"/>
      <c r="AZ150" s="223"/>
      <c r="BA150" s="268">
        <f ca="1">ROUND(BA149*$AO$17*AP146*(1+0.5*(AW146-1)),2)</f>
        <v>2143.8000000000002</v>
      </c>
      <c r="BB150" s="269"/>
      <c r="BC150" s="269"/>
      <c r="BD150" s="269"/>
      <c r="BE150" s="269"/>
      <c r="BF150" s="270" t="s">
        <v>23</v>
      </c>
      <c r="BG150" s="270"/>
      <c r="BH150" s="271"/>
      <c r="BI150" s="87"/>
      <c r="BJ150" s="87"/>
      <c r="BK150" s="87"/>
      <c r="BL150" s="87"/>
      <c r="BM150" s="87"/>
      <c r="BN150" s="87"/>
      <c r="BO150" s="87"/>
      <c r="BP150" s="87"/>
      <c r="BQ150" s="87"/>
      <c r="BR150" s="87"/>
      <c r="BS150" s="87"/>
      <c r="BT150" s="87"/>
      <c r="BU150" s="87"/>
      <c r="BV150" s="87"/>
      <c r="BW150" s="87"/>
      <c r="BX150" s="87"/>
      <c r="BY150" s="87"/>
      <c r="BZ150" s="87"/>
      <c r="CA150" s="87"/>
      <c r="CB150" s="87"/>
      <c r="CC150" s="87"/>
      <c r="CD150" s="87"/>
      <c r="CE150" s="87"/>
      <c r="CF150" s="87"/>
      <c r="CG150" s="87"/>
      <c r="CH150" s="87"/>
      <c r="CI150" s="87"/>
      <c r="CJ150" s="87"/>
      <c r="CK150" s="87"/>
      <c r="CL150" s="87"/>
      <c r="CM150" s="87"/>
      <c r="CN150" s="87"/>
      <c r="CO150" s="87"/>
      <c r="CP150" s="87"/>
      <c r="CQ150" s="87"/>
      <c r="CR150" s="87"/>
      <c r="CS150" s="87"/>
      <c r="CT150" s="87"/>
      <c r="CU150" s="87"/>
      <c r="CV150" s="87"/>
      <c r="CW150" s="87"/>
      <c r="CX150" s="87"/>
      <c r="CY150" s="87"/>
      <c r="CZ150" s="87"/>
      <c r="DA150" s="87"/>
      <c r="DB150" s="119"/>
    </row>
    <row r="151" spans="1:106" s="90" customFormat="1" ht="12" customHeight="1">
      <c r="A151" s="239" t="str">
        <f ca="1">график!A23</f>
        <v>5.6</v>
      </c>
      <c r="B151" s="240"/>
      <c r="C151" s="205" t="str">
        <f ca="1">график!B23</f>
        <v>организация работ по инженерному обустройству строительной площадки</v>
      </c>
      <c r="D151" s="205"/>
      <c r="E151" s="205"/>
      <c r="F151" s="205"/>
      <c r="G151" s="205"/>
      <c r="H151" s="205"/>
      <c r="I151" s="205"/>
      <c r="J151" s="205"/>
      <c r="K151" s="205"/>
      <c r="L151" s="205"/>
      <c r="M151" s="205"/>
      <c r="N151" s="205"/>
      <c r="O151" s="205"/>
      <c r="P151" s="205"/>
      <c r="Q151" s="205"/>
      <c r="R151" s="205"/>
      <c r="S151" s="205"/>
      <c r="T151" s="205"/>
      <c r="U151" s="205"/>
      <c r="V151" s="205"/>
      <c r="W151" s="205"/>
      <c r="X151" s="205"/>
      <c r="Y151" s="205"/>
      <c r="Z151" s="205"/>
      <c r="AA151" s="205"/>
      <c r="AB151" s="205"/>
      <c r="AC151" s="205"/>
      <c r="AD151" s="205"/>
      <c r="AE151" s="205"/>
      <c r="AF151" s="205"/>
      <c r="AG151" s="205"/>
      <c r="AH151" s="205"/>
      <c r="AI151" s="205"/>
      <c r="AJ151" s="205"/>
      <c r="AK151" s="205"/>
      <c r="AL151" s="205"/>
      <c r="AM151" s="205"/>
      <c r="AN151" s="205"/>
      <c r="AO151" s="205"/>
      <c r="AP151" s="205"/>
      <c r="AQ151" s="205"/>
      <c r="AR151" s="205"/>
      <c r="AS151" s="205"/>
      <c r="AT151" s="205"/>
      <c r="AU151" s="205"/>
      <c r="AV151" s="205"/>
      <c r="AW151" s="205"/>
      <c r="AX151" s="205"/>
      <c r="AY151" s="205"/>
      <c r="AZ151" s="205"/>
      <c r="BA151" s="251" t="s">
        <v>245</v>
      </c>
      <c r="BB151" s="251"/>
      <c r="BC151" s="251"/>
      <c r="BD151" s="251"/>
      <c r="BE151" s="251"/>
      <c r="BF151" s="251"/>
      <c r="BG151" s="251"/>
      <c r="BH151" s="252"/>
      <c r="BI151" s="117"/>
      <c r="BJ151" s="117"/>
      <c r="BK151" s="117"/>
      <c r="BL151" s="117"/>
      <c r="BM151" s="117"/>
      <c r="BN151" s="117"/>
      <c r="BO151" s="117"/>
      <c r="BP151" s="117"/>
      <c r="BQ151" s="117"/>
      <c r="BR151" s="117"/>
      <c r="BS151" s="117"/>
      <c r="BT151" s="117"/>
      <c r="BU151" s="117"/>
      <c r="BV151" s="117"/>
      <c r="BW151" s="117"/>
      <c r="BX151" s="117"/>
      <c r="BY151" s="117"/>
      <c r="BZ151" s="117"/>
      <c r="CA151" s="117"/>
      <c r="CB151" s="117"/>
      <c r="CC151" s="117"/>
      <c r="CD151" s="117"/>
      <c r="CE151" s="117"/>
      <c r="CF151" s="117"/>
      <c r="CG151" s="117"/>
      <c r="CH151" s="117"/>
      <c r="CI151" s="117"/>
      <c r="CJ151" s="117"/>
      <c r="CK151" s="117"/>
      <c r="CL151" s="117"/>
      <c r="CM151" s="117"/>
      <c r="CN151" s="117"/>
      <c r="CO151" s="117"/>
      <c r="CP151" s="117"/>
      <c r="CQ151" s="117"/>
      <c r="CR151" s="117"/>
      <c r="CS151" s="117"/>
      <c r="CT151" s="117"/>
      <c r="CU151" s="117"/>
      <c r="CV151" s="117"/>
      <c r="CW151" s="117"/>
      <c r="CX151" s="117"/>
      <c r="CY151" s="117"/>
      <c r="CZ151" s="117"/>
      <c r="DA151" s="117"/>
      <c r="DB151" s="118"/>
    </row>
    <row r="152" spans="1:106" s="88" customFormat="1" ht="12" customHeight="1">
      <c r="A152" s="241" t="s">
        <v>205</v>
      </c>
      <c r="B152" s="242"/>
      <c r="C152" s="242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42"/>
      <c r="S152" s="242"/>
      <c r="T152" s="242"/>
      <c r="U152" s="242"/>
      <c r="V152" s="242"/>
      <c r="W152" s="243"/>
      <c r="X152" s="244" t="s">
        <v>45</v>
      </c>
      <c r="Y152" s="245"/>
      <c r="Z152" s="245"/>
      <c r="AA152" s="245"/>
      <c r="AB152" s="253">
        <f ca="1">график!C23</f>
        <v>45474</v>
      </c>
      <c r="AC152" s="246"/>
      <c r="AD152" s="246"/>
      <c r="AE152" s="246"/>
      <c r="AF152" s="246"/>
      <c r="AG152" s="93" t="s">
        <v>1</v>
      </c>
      <c r="AH152" s="254">
        <f ca="1">график!E23</f>
        <v>45474</v>
      </c>
      <c r="AI152" s="247"/>
      <c r="AJ152" s="247"/>
      <c r="AK152" s="247"/>
      <c r="AL152" s="247"/>
      <c r="AM152" s="255" t="s">
        <v>158</v>
      </c>
      <c r="AN152" s="255"/>
      <c r="AO152" s="91" t="s">
        <v>28</v>
      </c>
      <c r="AP152" s="256">
        <f ca="1">график!F23</f>
        <v>1.101</v>
      </c>
      <c r="AQ152" s="256"/>
      <c r="AR152" s="256"/>
      <c r="AS152" s="256"/>
      <c r="AT152" s="255" t="s">
        <v>159</v>
      </c>
      <c r="AU152" s="255"/>
      <c r="AV152" s="91" t="s">
        <v>28</v>
      </c>
      <c r="AW152" s="228">
        <f ca="1">график!G23</f>
        <v>1.0076000000000001</v>
      </c>
      <c r="AX152" s="228"/>
      <c r="AY152" s="228"/>
      <c r="AZ152" s="229"/>
      <c r="BA152" s="401"/>
      <c r="BB152" s="402"/>
      <c r="BC152" s="402"/>
      <c r="BD152" s="402"/>
      <c r="BE152" s="402"/>
      <c r="BF152" s="402"/>
      <c r="BG152" s="402"/>
      <c r="BH152" s="403"/>
      <c r="BI152" s="87"/>
      <c r="BJ152" s="87"/>
      <c r="BK152" s="87"/>
      <c r="BL152" s="87"/>
      <c r="BM152" s="87"/>
      <c r="BN152" s="87"/>
      <c r="BO152" s="87"/>
      <c r="BP152" s="87"/>
      <c r="BQ152" s="87"/>
      <c r="BR152" s="87"/>
      <c r="BS152" s="87"/>
      <c r="BT152" s="87"/>
      <c r="BU152" s="87"/>
      <c r="BV152" s="87"/>
      <c r="BW152" s="87"/>
      <c r="BX152" s="87"/>
      <c r="BY152" s="87"/>
      <c r="BZ152" s="87"/>
      <c r="CA152" s="87"/>
      <c r="CB152" s="87"/>
      <c r="CC152" s="87"/>
      <c r="CD152" s="87"/>
      <c r="CE152" s="87"/>
      <c r="CF152" s="87"/>
      <c r="CG152" s="87"/>
      <c r="CH152" s="87"/>
      <c r="CI152" s="87"/>
      <c r="CJ152" s="87"/>
      <c r="CK152" s="87"/>
      <c r="CL152" s="87"/>
      <c r="CM152" s="87"/>
      <c r="CN152" s="87"/>
      <c r="CO152" s="87"/>
      <c r="CP152" s="87"/>
      <c r="CQ152" s="87"/>
      <c r="CR152" s="87"/>
      <c r="CS152" s="87"/>
      <c r="CT152" s="87"/>
      <c r="CU152" s="87"/>
      <c r="CV152" s="87"/>
      <c r="CW152" s="87"/>
      <c r="CX152" s="87"/>
      <c r="CY152" s="87"/>
      <c r="CZ152" s="87"/>
      <c r="DA152" s="87"/>
      <c r="DB152" s="119"/>
    </row>
    <row r="153" spans="1:106" s="88" customFormat="1" ht="12" customHeight="1">
      <c r="A153" s="306" t="s">
        <v>203</v>
      </c>
      <c r="B153" s="307"/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8"/>
      <c r="X153" s="208" t="s">
        <v>39</v>
      </c>
      <c r="Y153" s="209"/>
      <c r="Z153" s="209"/>
      <c r="AA153" s="44" t="s">
        <v>28</v>
      </c>
      <c r="AB153" s="258">
        <v>0.5</v>
      </c>
      <c r="AC153" s="258"/>
      <c r="AD153" s="258"/>
      <c r="AE153" s="258"/>
      <c r="AF153" s="248" t="s">
        <v>40</v>
      </c>
      <c r="AG153" s="209"/>
      <c r="AH153" s="209"/>
      <c r="AI153" s="209"/>
      <c r="AJ153" s="209"/>
      <c r="AK153" s="44" t="s">
        <v>28</v>
      </c>
      <c r="AL153" s="289">
        <v>9</v>
      </c>
      <c r="AM153" s="290"/>
      <c r="AN153" s="290"/>
      <c r="AO153" s="290"/>
      <c r="AP153" s="290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35"/>
      <c r="BA153" s="210"/>
      <c r="BB153" s="211"/>
      <c r="BC153" s="211"/>
      <c r="BD153" s="211"/>
      <c r="BE153" s="211"/>
      <c r="BF153" s="212"/>
      <c r="BG153" s="212"/>
      <c r="BH153" s="213"/>
      <c r="BI153" s="87"/>
      <c r="BJ153" s="87"/>
      <c r="BK153" s="87"/>
      <c r="BL153" s="87"/>
      <c r="BM153" s="87"/>
      <c r="BN153" s="87"/>
      <c r="BO153" s="87"/>
      <c r="BP153" s="87"/>
      <c r="BQ153" s="87"/>
      <c r="BR153" s="87"/>
      <c r="BS153" s="87"/>
      <c r="BT153" s="87"/>
      <c r="BU153" s="87"/>
      <c r="BV153" s="87"/>
      <c r="BW153" s="87"/>
      <c r="BX153" s="87"/>
      <c r="BY153" s="87"/>
      <c r="BZ153" s="87"/>
      <c r="CA153" s="87"/>
      <c r="CB153" s="87"/>
      <c r="CC153" s="87"/>
      <c r="CD153" s="87"/>
      <c r="CE153" s="87"/>
      <c r="CF153" s="87"/>
      <c r="CG153" s="87"/>
      <c r="CH153" s="87"/>
      <c r="CI153" s="87"/>
      <c r="CJ153" s="87"/>
      <c r="CK153" s="87"/>
      <c r="CL153" s="87"/>
      <c r="CM153" s="87"/>
      <c r="CN153" s="87"/>
      <c r="CO153" s="87"/>
      <c r="CP153" s="87"/>
      <c r="CQ153" s="87"/>
      <c r="CR153" s="87"/>
      <c r="CS153" s="87"/>
      <c r="CT153" s="87"/>
      <c r="CU153" s="87"/>
      <c r="CV153" s="87"/>
      <c r="CW153" s="87"/>
      <c r="CX153" s="87"/>
      <c r="CY153" s="87"/>
      <c r="CZ153" s="87"/>
      <c r="DA153" s="87"/>
      <c r="DB153" s="119"/>
    </row>
    <row r="154" spans="1:106" s="88" customFormat="1" ht="12" customHeight="1">
      <c r="A154" s="306"/>
      <c r="B154" s="307"/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8"/>
      <c r="X154" s="208" t="s">
        <v>43</v>
      </c>
      <c r="Y154" s="209"/>
      <c r="Z154" s="209"/>
      <c r="AA154" s="44" t="s">
        <v>28</v>
      </c>
      <c r="AB154" s="258">
        <v>1</v>
      </c>
      <c r="AC154" s="258"/>
      <c r="AD154" s="258"/>
      <c r="AE154" s="258"/>
      <c r="AF154" s="248" t="s">
        <v>44</v>
      </c>
      <c r="AG154" s="209"/>
      <c r="AH154" s="209"/>
      <c r="AI154" s="209"/>
      <c r="AJ154" s="209"/>
      <c r="AK154" s="44" t="s">
        <v>28</v>
      </c>
      <c r="AL154" s="289">
        <v>9.4</v>
      </c>
      <c r="AM154" s="290"/>
      <c r="AN154" s="290"/>
      <c r="AO154" s="290"/>
      <c r="AP154" s="290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35"/>
      <c r="BA154" s="210"/>
      <c r="BB154" s="211"/>
      <c r="BC154" s="211"/>
      <c r="BD154" s="211"/>
      <c r="BE154" s="211"/>
      <c r="BF154" s="212"/>
      <c r="BG154" s="212"/>
      <c r="BH154" s="213"/>
      <c r="BI154" s="87"/>
      <c r="BJ154" s="87"/>
      <c r="BK154" s="87"/>
      <c r="BL154" s="87"/>
      <c r="BM154" s="87"/>
      <c r="BN154" s="87"/>
      <c r="BO154" s="87"/>
      <c r="BP154" s="87"/>
      <c r="BQ154" s="87"/>
      <c r="BR154" s="87"/>
      <c r="BS154" s="87"/>
      <c r="BT154" s="87"/>
      <c r="BU154" s="87"/>
      <c r="BV154" s="87"/>
      <c r="BW154" s="87"/>
      <c r="BX154" s="87"/>
      <c r="BY154" s="87"/>
      <c r="BZ154" s="87"/>
      <c r="CA154" s="87"/>
      <c r="CB154" s="87"/>
      <c r="CC154" s="87"/>
      <c r="CD154" s="87"/>
      <c r="CE154" s="87"/>
      <c r="CF154" s="87"/>
      <c r="CG154" s="87"/>
      <c r="CH154" s="87"/>
      <c r="CI154" s="87"/>
      <c r="CJ154" s="87"/>
      <c r="CK154" s="87"/>
      <c r="CL154" s="87"/>
      <c r="CM154" s="87"/>
      <c r="CN154" s="87"/>
      <c r="CO154" s="87"/>
      <c r="CP154" s="87"/>
      <c r="CQ154" s="87"/>
      <c r="CR154" s="87"/>
      <c r="CS154" s="87"/>
      <c r="CT154" s="87"/>
      <c r="CU154" s="87"/>
      <c r="CV154" s="87"/>
      <c r="CW154" s="87"/>
      <c r="CX154" s="87"/>
      <c r="CY154" s="87"/>
      <c r="CZ154" s="87"/>
      <c r="DA154" s="87"/>
      <c r="DB154" s="119"/>
    </row>
    <row r="155" spans="1:106" s="88" customFormat="1" ht="12" customHeight="1">
      <c r="A155" s="306"/>
      <c r="B155" s="307"/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8"/>
      <c r="X155" s="224" t="s">
        <v>22</v>
      </c>
      <c r="Y155" s="225"/>
      <c r="Z155" s="225"/>
      <c r="AA155" s="94" t="s">
        <v>28</v>
      </c>
      <c r="AB155" s="226" t="str">
        <f>CONCATENATE(AL153," + [ (",AL154," - ", AL153,") / (",AB154," - ", AB153,") ] x  (",D156," - ",AB153,") = ")</f>
        <v xml:space="preserve">9 + [ (9,4 - 9) / (1 - 0,5) ] x  (0,8 - 0,5) = </v>
      </c>
      <c r="AC155" s="226"/>
      <c r="AD155" s="226"/>
      <c r="AE155" s="226"/>
      <c r="AF155" s="226"/>
      <c r="AG155" s="226"/>
      <c r="AH155" s="226"/>
      <c r="AI155" s="226"/>
      <c r="AJ155" s="226"/>
      <c r="AK155" s="226"/>
      <c r="AL155" s="226"/>
      <c r="AM155" s="226"/>
      <c r="AN155" s="226"/>
      <c r="AO155" s="226"/>
      <c r="AP155" s="226"/>
      <c r="AQ155" s="226"/>
      <c r="AR155" s="226"/>
      <c r="AS155" s="226"/>
      <c r="AT155" s="226"/>
      <c r="AU155" s="226"/>
      <c r="AV155" s="226"/>
      <c r="AW155" s="226"/>
      <c r="AX155" s="226"/>
      <c r="AY155" s="226"/>
      <c r="AZ155" s="227"/>
      <c r="BA155" s="210">
        <f>ROUND(AL153 + ((AL154-AL153) / (AB154-AB153)) * (D156-AB153),2)</f>
        <v>9.24</v>
      </c>
      <c r="BB155" s="211"/>
      <c r="BC155" s="211"/>
      <c r="BD155" s="211"/>
      <c r="BE155" s="211"/>
      <c r="BF155" s="212" t="s">
        <v>163</v>
      </c>
      <c r="BG155" s="212"/>
      <c r="BH155" s="213"/>
      <c r="BI155" s="87"/>
      <c r="BJ155" s="144" t="s">
        <v>171</v>
      </c>
      <c r="BK155" s="87"/>
      <c r="BL155" s="87"/>
      <c r="BM155" s="87"/>
      <c r="BN155" s="87"/>
      <c r="BO155" s="87"/>
      <c r="BP155" s="87"/>
      <c r="BQ155" s="87"/>
      <c r="BR155" s="87"/>
      <c r="BS155" s="87"/>
      <c r="BT155" s="87"/>
      <c r="BU155" s="87"/>
      <c r="BV155" s="87"/>
      <c r="BW155" s="87"/>
      <c r="BX155" s="87"/>
      <c r="BY155" s="87"/>
      <c r="BZ155" s="87"/>
      <c r="CA155" s="87"/>
      <c r="CB155" s="87"/>
      <c r="CC155" s="87"/>
      <c r="CD155" s="87"/>
      <c r="CE155" s="87"/>
      <c r="CF155" s="87"/>
      <c r="CG155" s="87"/>
      <c r="CH155" s="87"/>
      <c r="CI155" s="87"/>
      <c r="CJ155" s="87"/>
      <c r="CK155" s="87"/>
      <c r="CL155" s="87"/>
      <c r="CM155" s="87"/>
      <c r="CN155" s="87"/>
      <c r="CO155" s="87"/>
      <c r="CP155" s="87"/>
      <c r="CQ155" s="87"/>
      <c r="CR155" s="87"/>
      <c r="CS155" s="87"/>
      <c r="CT155" s="87"/>
      <c r="CU155" s="87"/>
      <c r="CV155" s="87"/>
      <c r="CW155" s="87"/>
      <c r="CX155" s="87"/>
      <c r="CY155" s="87"/>
      <c r="CZ155" s="87"/>
      <c r="DA155" s="87"/>
      <c r="DB155" s="119"/>
    </row>
    <row r="156" spans="1:106" s="88" customFormat="1" ht="12" customHeight="1">
      <c r="A156" s="214" t="s">
        <v>170</v>
      </c>
      <c r="B156" s="215"/>
      <c r="C156" s="113" t="s">
        <v>28</v>
      </c>
      <c r="D156" s="411">
        <v>0.8</v>
      </c>
      <c r="E156" s="411"/>
      <c r="F156" s="411"/>
      <c r="G156" s="411"/>
      <c r="H156" s="411"/>
      <c r="I156" s="120"/>
      <c r="J156" s="120"/>
      <c r="K156" s="120"/>
      <c r="L156" s="120"/>
      <c r="M156" s="120"/>
      <c r="N156" s="120"/>
      <c r="O156" s="120"/>
      <c r="P156" s="120"/>
      <c r="Q156" s="120"/>
      <c r="R156" s="215"/>
      <c r="S156" s="215"/>
      <c r="T156" s="113"/>
      <c r="U156" s="217"/>
      <c r="V156" s="218"/>
      <c r="W156" s="219"/>
      <c r="X156" s="220" t="s">
        <v>162</v>
      </c>
      <c r="Y156" s="221"/>
      <c r="Z156" s="221"/>
      <c r="AA156" s="97" t="s">
        <v>28</v>
      </c>
      <c r="AB156" s="222" t="str">
        <f ca="1">CONCATENATE(BA155," x ",$AO$17," x ", AP152," x [1 + 0,5 x (",AW152," - 1)]  = ")</f>
        <v xml:space="preserve">9,24 x 307,7 x 1,101 x [1 + 0,5 x (1,0076 - 1)]  = </v>
      </c>
      <c r="AC156" s="222"/>
      <c r="AD156" s="222"/>
      <c r="AE156" s="222"/>
      <c r="AF156" s="222"/>
      <c r="AG156" s="222"/>
      <c r="AH156" s="222"/>
      <c r="AI156" s="222"/>
      <c r="AJ156" s="222"/>
      <c r="AK156" s="222"/>
      <c r="AL156" s="222"/>
      <c r="AM156" s="222"/>
      <c r="AN156" s="222"/>
      <c r="AO156" s="222"/>
      <c r="AP156" s="222"/>
      <c r="AQ156" s="222"/>
      <c r="AR156" s="222"/>
      <c r="AS156" s="222"/>
      <c r="AT156" s="222"/>
      <c r="AU156" s="222"/>
      <c r="AV156" s="222"/>
      <c r="AW156" s="222"/>
      <c r="AX156" s="222"/>
      <c r="AY156" s="222"/>
      <c r="AZ156" s="223"/>
      <c r="BA156" s="268">
        <f ca="1">ROUND(BA155*$AO$17*AP152*(1+0.5*(AW152-1)),2)</f>
        <v>3142.2</v>
      </c>
      <c r="BB156" s="269"/>
      <c r="BC156" s="269"/>
      <c r="BD156" s="269"/>
      <c r="BE156" s="269"/>
      <c r="BF156" s="270" t="s">
        <v>23</v>
      </c>
      <c r="BG156" s="270"/>
      <c r="BH156" s="271"/>
      <c r="BI156" s="87"/>
      <c r="BJ156" s="87"/>
      <c r="BK156" s="87"/>
      <c r="BL156" s="87"/>
      <c r="BM156" s="87"/>
      <c r="BN156" s="87"/>
      <c r="BO156" s="87"/>
      <c r="BP156" s="87"/>
      <c r="BQ156" s="87"/>
      <c r="BR156" s="87"/>
      <c r="BS156" s="87"/>
      <c r="BT156" s="87"/>
      <c r="BU156" s="87"/>
      <c r="BV156" s="87"/>
      <c r="BW156" s="87"/>
      <c r="BX156" s="87"/>
      <c r="BY156" s="87"/>
      <c r="BZ156" s="87"/>
      <c r="CA156" s="87"/>
      <c r="CB156" s="87"/>
      <c r="CC156" s="87"/>
      <c r="CD156" s="87"/>
      <c r="CE156" s="87"/>
      <c r="CF156" s="87"/>
      <c r="CG156" s="87"/>
      <c r="CH156" s="87"/>
      <c r="CI156" s="87"/>
      <c r="CJ156" s="87"/>
      <c r="CK156" s="87"/>
      <c r="CL156" s="87"/>
      <c r="CM156" s="87"/>
      <c r="CN156" s="87"/>
      <c r="CO156" s="87"/>
      <c r="CP156" s="87"/>
      <c r="CQ156" s="87"/>
      <c r="CR156" s="87"/>
      <c r="CS156" s="87"/>
      <c r="CT156" s="87"/>
      <c r="CU156" s="87"/>
      <c r="CV156" s="87"/>
      <c r="CW156" s="87"/>
      <c r="CX156" s="87"/>
      <c r="CY156" s="87"/>
      <c r="CZ156" s="87"/>
      <c r="DA156" s="87"/>
      <c r="DB156" s="119"/>
    </row>
    <row r="157" spans="1:106" s="90" customFormat="1" ht="12" customHeight="1">
      <c r="A157" s="239" t="str">
        <f ca="1">график!A24</f>
        <v>5.7</v>
      </c>
      <c r="B157" s="240"/>
      <c r="C157" s="205" t="str">
        <f ca="1">график!B24</f>
        <v>организация передачи подрядчику обустроенной строительной площадки после её инженерного обустройства</v>
      </c>
      <c r="D157" s="205"/>
      <c r="E157" s="205"/>
      <c r="F157" s="205"/>
      <c r="G157" s="205"/>
      <c r="H157" s="205"/>
      <c r="I157" s="205"/>
      <c r="J157" s="205"/>
      <c r="K157" s="205"/>
      <c r="L157" s="205"/>
      <c r="M157" s="205"/>
      <c r="N157" s="205"/>
      <c r="O157" s="205"/>
      <c r="P157" s="205"/>
      <c r="Q157" s="205"/>
      <c r="R157" s="205"/>
      <c r="S157" s="205"/>
      <c r="T157" s="205"/>
      <c r="U157" s="205"/>
      <c r="V157" s="205"/>
      <c r="W157" s="205"/>
      <c r="X157" s="205"/>
      <c r="Y157" s="205"/>
      <c r="Z157" s="205"/>
      <c r="AA157" s="205"/>
      <c r="AB157" s="205"/>
      <c r="AC157" s="205"/>
      <c r="AD157" s="205"/>
      <c r="AE157" s="205"/>
      <c r="AF157" s="205"/>
      <c r="AG157" s="205"/>
      <c r="AH157" s="205"/>
      <c r="AI157" s="205"/>
      <c r="AJ157" s="205"/>
      <c r="AK157" s="205"/>
      <c r="AL157" s="205"/>
      <c r="AM157" s="205"/>
      <c r="AN157" s="205"/>
      <c r="AO157" s="205"/>
      <c r="AP157" s="205"/>
      <c r="AQ157" s="205"/>
      <c r="AR157" s="205"/>
      <c r="AS157" s="205"/>
      <c r="AT157" s="205"/>
      <c r="AU157" s="205"/>
      <c r="AV157" s="205"/>
      <c r="AW157" s="205"/>
      <c r="AX157" s="205"/>
      <c r="AY157" s="205"/>
      <c r="AZ157" s="205"/>
      <c r="BA157" s="251" t="s">
        <v>245</v>
      </c>
      <c r="BB157" s="251"/>
      <c r="BC157" s="251"/>
      <c r="BD157" s="251"/>
      <c r="BE157" s="251"/>
      <c r="BF157" s="251"/>
      <c r="BG157" s="251"/>
      <c r="BH157" s="252"/>
      <c r="BI157" s="117"/>
      <c r="BJ157" s="117"/>
      <c r="BK157" s="117"/>
      <c r="BL157" s="117"/>
      <c r="BM157" s="117"/>
      <c r="BN157" s="117"/>
      <c r="BO157" s="117"/>
      <c r="BP157" s="117"/>
      <c r="BQ157" s="117"/>
      <c r="BR157" s="117"/>
      <c r="BS157" s="117"/>
      <c r="BT157" s="117"/>
      <c r="BU157" s="117"/>
      <c r="BV157" s="117"/>
      <c r="BW157" s="117"/>
      <c r="BX157" s="117"/>
      <c r="BY157" s="117"/>
      <c r="BZ157" s="117"/>
      <c r="CA157" s="117"/>
      <c r="CB157" s="117"/>
      <c r="CC157" s="117"/>
      <c r="CD157" s="117"/>
      <c r="CE157" s="117"/>
      <c r="CF157" s="117"/>
      <c r="CG157" s="117"/>
      <c r="CH157" s="117"/>
      <c r="CI157" s="117"/>
      <c r="CJ157" s="117"/>
      <c r="CK157" s="117"/>
      <c r="CL157" s="117"/>
      <c r="CM157" s="117"/>
      <c r="CN157" s="117"/>
      <c r="CO157" s="117"/>
      <c r="CP157" s="117"/>
      <c r="CQ157" s="117"/>
      <c r="CR157" s="117"/>
      <c r="CS157" s="117"/>
      <c r="CT157" s="117"/>
      <c r="CU157" s="117"/>
      <c r="CV157" s="117"/>
      <c r="CW157" s="117"/>
      <c r="CX157" s="117"/>
      <c r="CY157" s="117"/>
      <c r="CZ157" s="117"/>
      <c r="DA157" s="117"/>
      <c r="DB157" s="118"/>
    </row>
    <row r="158" spans="1:106" s="88" customFormat="1" ht="12" customHeight="1">
      <c r="A158" s="241" t="s">
        <v>206</v>
      </c>
      <c r="B158" s="242"/>
      <c r="C158" s="242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2"/>
      <c r="P158" s="242"/>
      <c r="Q158" s="242"/>
      <c r="R158" s="242"/>
      <c r="S158" s="242"/>
      <c r="T158" s="242"/>
      <c r="U158" s="242"/>
      <c r="V158" s="242"/>
      <c r="W158" s="243"/>
      <c r="X158" s="244" t="s">
        <v>45</v>
      </c>
      <c r="Y158" s="245"/>
      <c r="Z158" s="245"/>
      <c r="AA158" s="245"/>
      <c r="AB158" s="253">
        <f ca="1">график!C24</f>
        <v>45505</v>
      </c>
      <c r="AC158" s="246"/>
      <c r="AD158" s="246"/>
      <c r="AE158" s="246"/>
      <c r="AF158" s="246"/>
      <c r="AG158" s="93" t="s">
        <v>1</v>
      </c>
      <c r="AH158" s="254">
        <f ca="1">график!E24</f>
        <v>45536</v>
      </c>
      <c r="AI158" s="247"/>
      <c r="AJ158" s="247"/>
      <c r="AK158" s="247"/>
      <c r="AL158" s="247"/>
      <c r="AM158" s="255" t="s">
        <v>158</v>
      </c>
      <c r="AN158" s="255"/>
      <c r="AO158" s="91" t="s">
        <v>28</v>
      </c>
      <c r="AP158" s="256">
        <f ca="1">график!F24</f>
        <v>1.1093999999999999</v>
      </c>
      <c r="AQ158" s="256"/>
      <c r="AR158" s="256"/>
      <c r="AS158" s="256"/>
      <c r="AT158" s="255" t="s">
        <v>159</v>
      </c>
      <c r="AU158" s="255"/>
      <c r="AV158" s="91" t="s">
        <v>28</v>
      </c>
      <c r="AW158" s="228">
        <f ca="1">график!G24</f>
        <v>1.0153000000000001</v>
      </c>
      <c r="AX158" s="228"/>
      <c r="AY158" s="228"/>
      <c r="AZ158" s="229"/>
      <c r="BA158" s="401"/>
      <c r="BB158" s="402"/>
      <c r="BC158" s="402"/>
      <c r="BD158" s="402"/>
      <c r="BE158" s="402"/>
      <c r="BF158" s="402"/>
      <c r="BG158" s="402"/>
      <c r="BH158" s="403"/>
      <c r="BI158" s="87"/>
      <c r="BJ158" s="87"/>
      <c r="BK158" s="87"/>
      <c r="BL158" s="87"/>
      <c r="BM158" s="87"/>
      <c r="BN158" s="87"/>
      <c r="BO158" s="87"/>
      <c r="BP158" s="87"/>
      <c r="BQ158" s="87"/>
      <c r="BR158" s="87"/>
      <c r="BS158" s="87"/>
      <c r="BT158" s="87"/>
      <c r="BU158" s="87"/>
      <c r="BV158" s="87"/>
      <c r="BW158" s="87"/>
      <c r="BX158" s="87"/>
      <c r="BY158" s="87"/>
      <c r="BZ158" s="87"/>
      <c r="CA158" s="87"/>
      <c r="CB158" s="87"/>
      <c r="CC158" s="87"/>
      <c r="CD158" s="87"/>
      <c r="CE158" s="87"/>
      <c r="CF158" s="87"/>
      <c r="CG158" s="87"/>
      <c r="CH158" s="87"/>
      <c r="CI158" s="87"/>
      <c r="CJ158" s="87"/>
      <c r="CK158" s="87"/>
      <c r="CL158" s="87"/>
      <c r="CM158" s="87"/>
      <c r="CN158" s="87"/>
      <c r="CO158" s="87"/>
      <c r="CP158" s="87"/>
      <c r="CQ158" s="87"/>
      <c r="CR158" s="87"/>
      <c r="CS158" s="87"/>
      <c r="CT158" s="87"/>
      <c r="CU158" s="87"/>
      <c r="CV158" s="87"/>
      <c r="CW158" s="87"/>
      <c r="CX158" s="87"/>
      <c r="CY158" s="87"/>
      <c r="CZ158" s="87"/>
      <c r="DA158" s="87"/>
      <c r="DB158" s="119"/>
    </row>
    <row r="159" spans="1:106" s="88" customFormat="1" ht="12" customHeight="1">
      <c r="A159" s="306" t="s">
        <v>203</v>
      </c>
      <c r="B159" s="307"/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8"/>
      <c r="X159" s="208" t="s">
        <v>39</v>
      </c>
      <c r="Y159" s="209"/>
      <c r="Z159" s="209"/>
      <c r="AA159" s="44" t="s">
        <v>28</v>
      </c>
      <c r="AB159" s="258">
        <v>0.5</v>
      </c>
      <c r="AC159" s="258"/>
      <c r="AD159" s="258"/>
      <c r="AE159" s="258"/>
      <c r="AF159" s="248" t="s">
        <v>40</v>
      </c>
      <c r="AG159" s="209"/>
      <c r="AH159" s="209"/>
      <c r="AI159" s="209"/>
      <c r="AJ159" s="209"/>
      <c r="AK159" s="44" t="s">
        <v>28</v>
      </c>
      <c r="AL159" s="289">
        <v>1.5</v>
      </c>
      <c r="AM159" s="290"/>
      <c r="AN159" s="290"/>
      <c r="AO159" s="290"/>
      <c r="AP159" s="290"/>
      <c r="AQ159" s="108"/>
      <c r="AR159" s="108"/>
      <c r="AS159" s="108"/>
      <c r="AT159" s="108"/>
      <c r="AU159" s="108"/>
      <c r="AV159" s="108"/>
      <c r="AW159" s="108"/>
      <c r="AX159" s="108"/>
      <c r="AY159" s="108"/>
      <c r="AZ159" s="135"/>
      <c r="BA159" s="210"/>
      <c r="BB159" s="211"/>
      <c r="BC159" s="211"/>
      <c r="BD159" s="211"/>
      <c r="BE159" s="211"/>
      <c r="BF159" s="212"/>
      <c r="BG159" s="212"/>
      <c r="BH159" s="213"/>
      <c r="BI159" s="87"/>
      <c r="BJ159" s="87"/>
      <c r="BK159" s="87"/>
      <c r="BL159" s="87"/>
      <c r="BM159" s="87"/>
      <c r="BN159" s="87"/>
      <c r="BO159" s="87"/>
      <c r="BP159" s="87"/>
      <c r="BQ159" s="87"/>
      <c r="BR159" s="87"/>
      <c r="BS159" s="87"/>
      <c r="BT159" s="87"/>
      <c r="BU159" s="87"/>
      <c r="BV159" s="87"/>
      <c r="BW159" s="87"/>
      <c r="BX159" s="87"/>
      <c r="BY159" s="87"/>
      <c r="BZ159" s="87"/>
      <c r="CA159" s="87"/>
      <c r="CB159" s="87"/>
      <c r="CC159" s="87"/>
      <c r="CD159" s="87"/>
      <c r="CE159" s="87"/>
      <c r="CF159" s="87"/>
      <c r="CG159" s="87"/>
      <c r="CH159" s="87"/>
      <c r="CI159" s="87"/>
      <c r="CJ159" s="87"/>
      <c r="CK159" s="87"/>
      <c r="CL159" s="87"/>
      <c r="CM159" s="87"/>
      <c r="CN159" s="87"/>
      <c r="CO159" s="87"/>
      <c r="CP159" s="87"/>
      <c r="CQ159" s="87"/>
      <c r="CR159" s="87"/>
      <c r="CS159" s="87"/>
      <c r="CT159" s="87"/>
      <c r="CU159" s="87"/>
      <c r="CV159" s="87"/>
      <c r="CW159" s="87"/>
      <c r="CX159" s="87"/>
      <c r="CY159" s="87"/>
      <c r="CZ159" s="87"/>
      <c r="DA159" s="87"/>
      <c r="DB159" s="119"/>
    </row>
    <row r="160" spans="1:106" s="88" customFormat="1" ht="12" customHeight="1">
      <c r="A160" s="306"/>
      <c r="B160" s="307"/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8"/>
      <c r="X160" s="208" t="s">
        <v>43</v>
      </c>
      <c r="Y160" s="209"/>
      <c r="Z160" s="209"/>
      <c r="AA160" s="44" t="s">
        <v>28</v>
      </c>
      <c r="AB160" s="258">
        <v>1</v>
      </c>
      <c r="AC160" s="258"/>
      <c r="AD160" s="258"/>
      <c r="AE160" s="258"/>
      <c r="AF160" s="248" t="s">
        <v>44</v>
      </c>
      <c r="AG160" s="209"/>
      <c r="AH160" s="209"/>
      <c r="AI160" s="209"/>
      <c r="AJ160" s="209"/>
      <c r="AK160" s="44" t="s">
        <v>28</v>
      </c>
      <c r="AL160" s="289">
        <v>1.6</v>
      </c>
      <c r="AM160" s="290"/>
      <c r="AN160" s="290"/>
      <c r="AO160" s="290"/>
      <c r="AP160" s="290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35"/>
      <c r="BA160" s="210"/>
      <c r="BB160" s="211"/>
      <c r="BC160" s="211"/>
      <c r="BD160" s="211"/>
      <c r="BE160" s="211"/>
      <c r="BF160" s="212"/>
      <c r="BG160" s="212"/>
      <c r="BH160" s="213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7"/>
      <c r="BT160" s="87"/>
      <c r="BU160" s="87"/>
      <c r="BV160" s="87"/>
      <c r="BW160" s="87"/>
      <c r="BX160" s="87"/>
      <c r="BY160" s="87"/>
      <c r="BZ160" s="87"/>
      <c r="CA160" s="87"/>
      <c r="CB160" s="87"/>
      <c r="CC160" s="87"/>
      <c r="CD160" s="87"/>
      <c r="CE160" s="87"/>
      <c r="CF160" s="87"/>
      <c r="CG160" s="87"/>
      <c r="CH160" s="87"/>
      <c r="CI160" s="87"/>
      <c r="CJ160" s="87"/>
      <c r="CK160" s="87"/>
      <c r="CL160" s="87"/>
      <c r="CM160" s="87"/>
      <c r="CN160" s="87"/>
      <c r="CO160" s="87"/>
      <c r="CP160" s="87"/>
      <c r="CQ160" s="87"/>
      <c r="CR160" s="87"/>
      <c r="CS160" s="87"/>
      <c r="CT160" s="87"/>
      <c r="CU160" s="87"/>
      <c r="CV160" s="87"/>
      <c r="CW160" s="87"/>
      <c r="CX160" s="87"/>
      <c r="CY160" s="87"/>
      <c r="CZ160" s="87"/>
      <c r="DA160" s="87"/>
      <c r="DB160" s="119"/>
    </row>
    <row r="161" spans="1:106" s="88" customFormat="1" ht="12" customHeight="1">
      <c r="A161" s="306"/>
      <c r="B161" s="307"/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8"/>
      <c r="X161" s="224" t="s">
        <v>22</v>
      </c>
      <c r="Y161" s="225"/>
      <c r="Z161" s="225"/>
      <c r="AA161" s="94" t="s">
        <v>28</v>
      </c>
      <c r="AB161" s="226" t="str">
        <f>CONCATENATE(AL159," + [ (",AL160," - ", AL159,") / (",AB160," - ", AB159,") ] x  (",D162," - ",AB159,") = ")</f>
        <v xml:space="preserve">1,5 + [ (1,6 - 1,5) / (1 - 0,5) ] x  (0,8 - 0,5) = </v>
      </c>
      <c r="AC161" s="226"/>
      <c r="AD161" s="226"/>
      <c r="AE161" s="226"/>
      <c r="AF161" s="226"/>
      <c r="AG161" s="226"/>
      <c r="AH161" s="226"/>
      <c r="AI161" s="226"/>
      <c r="AJ161" s="226"/>
      <c r="AK161" s="226"/>
      <c r="AL161" s="226"/>
      <c r="AM161" s="226"/>
      <c r="AN161" s="226"/>
      <c r="AO161" s="226"/>
      <c r="AP161" s="226"/>
      <c r="AQ161" s="226"/>
      <c r="AR161" s="226"/>
      <c r="AS161" s="226"/>
      <c r="AT161" s="226"/>
      <c r="AU161" s="226"/>
      <c r="AV161" s="226"/>
      <c r="AW161" s="226"/>
      <c r="AX161" s="226"/>
      <c r="AY161" s="226"/>
      <c r="AZ161" s="227"/>
      <c r="BA161" s="210">
        <f>ROUND(AL159 + ((AL160-AL159) / (AB160-AB159)) * (D162-AB159),2)</f>
        <v>1.56</v>
      </c>
      <c r="BB161" s="211"/>
      <c r="BC161" s="211"/>
      <c r="BD161" s="211"/>
      <c r="BE161" s="211"/>
      <c r="BF161" s="212" t="s">
        <v>163</v>
      </c>
      <c r="BG161" s="212"/>
      <c r="BH161" s="213"/>
      <c r="BI161" s="87"/>
      <c r="BJ161" s="144" t="s">
        <v>171</v>
      </c>
      <c r="BK161" s="87"/>
      <c r="BL161" s="87"/>
      <c r="BM161" s="87"/>
      <c r="BN161" s="87"/>
      <c r="BO161" s="87"/>
      <c r="BP161" s="87"/>
      <c r="BQ161" s="87"/>
      <c r="BR161" s="87"/>
      <c r="BS161" s="87"/>
      <c r="BT161" s="87"/>
      <c r="BU161" s="87"/>
      <c r="BV161" s="87"/>
      <c r="BW161" s="87"/>
      <c r="BX161" s="87"/>
      <c r="BY161" s="87"/>
      <c r="BZ161" s="87"/>
      <c r="CA161" s="87"/>
      <c r="CB161" s="87"/>
      <c r="CC161" s="87"/>
      <c r="CD161" s="87"/>
      <c r="CE161" s="87"/>
      <c r="CF161" s="87"/>
      <c r="CG161" s="87"/>
      <c r="CH161" s="87"/>
      <c r="CI161" s="87"/>
      <c r="CJ161" s="87"/>
      <c r="CK161" s="87"/>
      <c r="CL161" s="87"/>
      <c r="CM161" s="87"/>
      <c r="CN161" s="87"/>
      <c r="CO161" s="87"/>
      <c r="CP161" s="87"/>
      <c r="CQ161" s="87"/>
      <c r="CR161" s="87"/>
      <c r="CS161" s="87"/>
      <c r="CT161" s="87"/>
      <c r="CU161" s="87"/>
      <c r="CV161" s="87"/>
      <c r="CW161" s="87"/>
      <c r="CX161" s="87"/>
      <c r="CY161" s="87"/>
      <c r="CZ161" s="87"/>
      <c r="DA161" s="87"/>
      <c r="DB161" s="119"/>
    </row>
    <row r="162" spans="1:106" s="88" customFormat="1" ht="12" customHeight="1">
      <c r="A162" s="214" t="s">
        <v>170</v>
      </c>
      <c r="B162" s="215"/>
      <c r="C162" s="113" t="s">
        <v>28</v>
      </c>
      <c r="D162" s="411">
        <v>0.8</v>
      </c>
      <c r="E162" s="411"/>
      <c r="F162" s="411"/>
      <c r="G162" s="411"/>
      <c r="H162" s="411"/>
      <c r="I162" s="120"/>
      <c r="J162" s="120"/>
      <c r="K162" s="120"/>
      <c r="L162" s="120"/>
      <c r="M162" s="120"/>
      <c r="N162" s="120"/>
      <c r="O162" s="120"/>
      <c r="P162" s="120"/>
      <c r="Q162" s="120"/>
      <c r="R162" s="215"/>
      <c r="S162" s="215"/>
      <c r="T162" s="113"/>
      <c r="U162" s="217"/>
      <c r="V162" s="218"/>
      <c r="W162" s="219"/>
      <c r="X162" s="220" t="s">
        <v>162</v>
      </c>
      <c r="Y162" s="221"/>
      <c r="Z162" s="221"/>
      <c r="AA162" s="97" t="s">
        <v>28</v>
      </c>
      <c r="AB162" s="222" t="str">
        <f ca="1">CONCATENATE(BA161," x ",$AO$17," x ", AP158," x [1 + 0,5 x (",AW158," - 1)]  = ")</f>
        <v xml:space="preserve">1,56 x 307,7 x 1,1094 x [1 + 0,5 x (1,0153 - 1)]  = </v>
      </c>
      <c r="AC162" s="222"/>
      <c r="AD162" s="222"/>
      <c r="AE162" s="222"/>
      <c r="AF162" s="222"/>
      <c r="AG162" s="222"/>
      <c r="AH162" s="222"/>
      <c r="AI162" s="222"/>
      <c r="AJ162" s="222"/>
      <c r="AK162" s="222"/>
      <c r="AL162" s="222"/>
      <c r="AM162" s="222"/>
      <c r="AN162" s="222"/>
      <c r="AO162" s="222"/>
      <c r="AP162" s="222"/>
      <c r="AQ162" s="222"/>
      <c r="AR162" s="222"/>
      <c r="AS162" s="222"/>
      <c r="AT162" s="222"/>
      <c r="AU162" s="222"/>
      <c r="AV162" s="222"/>
      <c r="AW162" s="222"/>
      <c r="AX162" s="222"/>
      <c r="AY162" s="222"/>
      <c r="AZ162" s="223"/>
      <c r="BA162" s="268">
        <f ca="1">ROUND(BA161*$AO$17*AP158*(1+0.5*(AW158-1)),2)</f>
        <v>536.6</v>
      </c>
      <c r="BB162" s="269"/>
      <c r="BC162" s="269"/>
      <c r="BD162" s="269"/>
      <c r="BE162" s="269"/>
      <c r="BF162" s="270" t="s">
        <v>23</v>
      </c>
      <c r="BG162" s="270"/>
      <c r="BH162" s="271"/>
      <c r="BI162" s="87"/>
      <c r="BJ162" s="87"/>
      <c r="BK162" s="87"/>
      <c r="BL162" s="87"/>
      <c r="BM162" s="87"/>
      <c r="BN162" s="87"/>
      <c r="BO162" s="87"/>
      <c r="BP162" s="87"/>
      <c r="BQ162" s="87"/>
      <c r="BR162" s="87"/>
      <c r="BS162" s="87"/>
      <c r="BT162" s="87"/>
      <c r="BU162" s="87"/>
      <c r="BV162" s="87"/>
      <c r="BW162" s="87"/>
      <c r="BX162" s="87"/>
      <c r="BY162" s="87"/>
      <c r="BZ162" s="87"/>
      <c r="CA162" s="87"/>
      <c r="CB162" s="87"/>
      <c r="CC162" s="87"/>
      <c r="CD162" s="87"/>
      <c r="CE162" s="87"/>
      <c r="CF162" s="87"/>
      <c r="CG162" s="87"/>
      <c r="CH162" s="87"/>
      <c r="CI162" s="87"/>
      <c r="CJ162" s="87"/>
      <c r="CK162" s="87"/>
      <c r="CL162" s="87"/>
      <c r="CM162" s="87"/>
      <c r="CN162" s="87"/>
      <c r="CO162" s="87"/>
      <c r="CP162" s="87"/>
      <c r="CQ162" s="87"/>
      <c r="CR162" s="87"/>
      <c r="CS162" s="87"/>
      <c r="CT162" s="87"/>
      <c r="CU162" s="87"/>
      <c r="CV162" s="87"/>
      <c r="CW162" s="87"/>
      <c r="CX162" s="87"/>
      <c r="CY162" s="87"/>
      <c r="CZ162" s="87"/>
      <c r="DA162" s="87"/>
      <c r="DB162" s="119"/>
    </row>
    <row r="163" spans="1:106" ht="12" customHeight="1">
      <c r="A163" s="136" t="s">
        <v>207</v>
      </c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  <c r="AI163" s="137"/>
      <c r="AJ163" s="137"/>
      <c r="AK163" s="138"/>
      <c r="AL163" s="138"/>
      <c r="AM163" s="138"/>
      <c r="AN163" s="138"/>
      <c r="AO163" s="138"/>
      <c r="AP163" s="138"/>
      <c r="AQ163" s="139"/>
      <c r="AR163" s="140"/>
      <c r="AS163" s="139"/>
      <c r="AT163" s="139"/>
      <c r="AU163" s="139"/>
      <c r="AV163" s="139"/>
      <c r="AW163" s="267" t="s">
        <v>22</v>
      </c>
      <c r="AX163" s="267"/>
      <c r="AY163" s="267"/>
      <c r="AZ163" s="141" t="s">
        <v>28</v>
      </c>
      <c r="BA163" s="292">
        <f>BA161+BA155+BA149+BA143+BA134+BA119+BA124+BA130</f>
        <v>49.74</v>
      </c>
      <c r="BB163" s="292"/>
      <c r="BC163" s="292"/>
      <c r="BD163" s="292"/>
      <c r="BE163" s="292"/>
      <c r="BF163" s="142" t="s">
        <v>163</v>
      </c>
      <c r="BG163" s="142"/>
      <c r="BH163" s="143"/>
    </row>
    <row r="164" spans="1:106" s="88" customFormat="1" ht="12" customHeight="1">
      <c r="A164" s="264" t="s">
        <v>160</v>
      </c>
      <c r="B164" s="265"/>
      <c r="C164" s="265"/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111"/>
      <c r="Y164" s="111"/>
      <c r="Z164" s="111"/>
      <c r="AA164" s="111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5"/>
      <c r="AU164" s="115"/>
      <c r="AV164" s="116"/>
      <c r="AW164" s="266" t="s">
        <v>167</v>
      </c>
      <c r="AX164" s="266"/>
      <c r="AY164" s="266"/>
      <c r="AZ164" s="112" t="s">
        <v>28</v>
      </c>
      <c r="BA164" s="260">
        <f ca="1">BA162+BA156+BA150+BA144+BA135+BA120+BA125+BA131</f>
        <v>16880.689999999999</v>
      </c>
      <c r="BB164" s="260"/>
      <c r="BC164" s="260"/>
      <c r="BD164" s="260"/>
      <c r="BE164" s="260"/>
      <c r="BF164" s="261" t="s">
        <v>23</v>
      </c>
      <c r="BG164" s="261"/>
      <c r="BH164" s="262"/>
      <c r="BI164" s="87"/>
      <c r="BJ164" s="87"/>
      <c r="BK164" s="87"/>
      <c r="BL164" s="87"/>
      <c r="BM164" s="87"/>
      <c r="BN164" s="87"/>
      <c r="BO164" s="87"/>
      <c r="BP164" s="87"/>
      <c r="BQ164" s="87"/>
      <c r="BR164" s="87"/>
      <c r="BS164" s="87"/>
      <c r="BT164" s="87"/>
      <c r="BU164" s="87"/>
      <c r="BV164" s="87"/>
      <c r="BW164" s="87"/>
      <c r="BX164" s="87"/>
      <c r="BY164" s="87"/>
      <c r="BZ164" s="87"/>
      <c r="CA164" s="87"/>
      <c r="CB164" s="87"/>
      <c r="CC164" s="87"/>
      <c r="CD164" s="87"/>
      <c r="CE164" s="87"/>
      <c r="CF164" s="87"/>
      <c r="CG164" s="87"/>
      <c r="CH164" s="87"/>
      <c r="CI164" s="87"/>
      <c r="CJ164" s="87"/>
      <c r="CK164" s="87"/>
      <c r="CL164" s="87"/>
      <c r="CM164" s="87"/>
      <c r="CN164" s="87"/>
      <c r="CO164" s="87"/>
      <c r="CP164" s="87"/>
      <c r="CQ164" s="87"/>
      <c r="CR164" s="87"/>
      <c r="CS164" s="87"/>
      <c r="CT164" s="87"/>
      <c r="CU164" s="87"/>
      <c r="CV164" s="87"/>
      <c r="CW164" s="87"/>
      <c r="CX164" s="87"/>
      <c r="CY164" s="87"/>
      <c r="CZ164" s="87"/>
      <c r="DA164" s="87"/>
      <c r="DB164" s="119"/>
    </row>
    <row r="165" spans="1:106" s="1" customFormat="1" ht="13.5" customHeight="1">
      <c r="A165" s="249" t="str">
        <f ca="1">график!A25</f>
        <v>6</v>
      </c>
      <c r="B165" s="250"/>
      <c r="C165" s="236" t="str">
        <f ca="1">график!B25</f>
        <v>УСЛУГИ ПО УПРАВЛЕНИЮ ЗАКУПКАМИ</v>
      </c>
      <c r="D165" s="237"/>
      <c r="E165" s="237"/>
      <c r="F165" s="237"/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237"/>
      <c r="X165" s="237"/>
      <c r="Y165" s="237"/>
      <c r="Z165" s="237"/>
      <c r="AA165" s="237"/>
      <c r="AB165" s="237"/>
      <c r="AC165" s="237"/>
      <c r="AD165" s="237"/>
      <c r="AE165" s="237"/>
      <c r="AF165" s="237"/>
      <c r="AG165" s="237"/>
      <c r="AH165" s="237"/>
      <c r="AI165" s="237"/>
      <c r="AJ165" s="237"/>
      <c r="AK165" s="237"/>
      <c r="AL165" s="237"/>
      <c r="AM165" s="237"/>
      <c r="AN165" s="237"/>
      <c r="AO165" s="237"/>
      <c r="AP165" s="237"/>
      <c r="AQ165" s="237"/>
      <c r="AR165" s="237"/>
      <c r="AS165" s="237"/>
      <c r="AT165" s="237"/>
      <c r="AU165" s="237"/>
      <c r="AV165" s="237"/>
      <c r="AW165" s="237"/>
      <c r="AX165" s="237"/>
      <c r="AY165" s="237"/>
      <c r="AZ165" s="237"/>
      <c r="BA165" s="237"/>
      <c r="BB165" s="237"/>
      <c r="BC165" s="237"/>
      <c r="BD165" s="237"/>
      <c r="BE165" s="237"/>
      <c r="BF165" s="237"/>
      <c r="BG165" s="237"/>
      <c r="BH165" s="238"/>
      <c r="BI165" s="87"/>
    </row>
    <row r="166" spans="1:106" s="90" customFormat="1" ht="12" customHeight="1">
      <c r="A166" s="239" t="str">
        <f ca="1">график!A26</f>
        <v>6.1</v>
      </c>
      <c r="B166" s="240"/>
      <c r="C166" s="205" t="str">
        <f ca="1">CONCATENATE(график!B26," (справочно)")</f>
        <v>организация выбора разработчика предпроектной документации (справочно)</v>
      </c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  <c r="O166" s="205"/>
      <c r="P166" s="205"/>
      <c r="Q166" s="205"/>
      <c r="R166" s="205"/>
      <c r="S166" s="205"/>
      <c r="T166" s="205"/>
      <c r="U166" s="205"/>
      <c r="V166" s="205"/>
      <c r="W166" s="205"/>
      <c r="X166" s="205"/>
      <c r="Y166" s="205"/>
      <c r="Z166" s="205"/>
      <c r="AA166" s="205"/>
      <c r="AB166" s="205"/>
      <c r="AC166" s="205"/>
      <c r="AD166" s="205"/>
      <c r="AE166" s="205"/>
      <c r="AF166" s="205"/>
      <c r="AG166" s="205"/>
      <c r="AH166" s="205"/>
      <c r="AI166" s="205"/>
      <c r="AJ166" s="205"/>
      <c r="AK166" s="205"/>
      <c r="AL166" s="205"/>
      <c r="AM166" s="205"/>
      <c r="AN166" s="205"/>
      <c r="AO166" s="205"/>
      <c r="AP166" s="205"/>
      <c r="AQ166" s="205"/>
      <c r="AR166" s="205"/>
      <c r="AS166" s="205"/>
      <c r="AT166" s="205"/>
      <c r="AU166" s="205"/>
      <c r="AV166" s="205"/>
      <c r="AW166" s="205"/>
      <c r="AX166" s="205"/>
      <c r="AY166" s="205"/>
      <c r="AZ166" s="205"/>
      <c r="BA166" s="412" t="s">
        <v>262</v>
      </c>
      <c r="BB166" s="412"/>
      <c r="BC166" s="412"/>
      <c r="BD166" s="412"/>
      <c r="BE166" s="412"/>
      <c r="BF166" s="412"/>
      <c r="BG166" s="412"/>
      <c r="BH166" s="413"/>
      <c r="BI166" s="117"/>
      <c r="BJ166" s="117"/>
      <c r="BK166" s="117"/>
      <c r="BL166" s="117"/>
      <c r="BM166" s="117"/>
      <c r="BN166" s="117"/>
      <c r="BO166" s="117"/>
      <c r="BP166" s="117"/>
      <c r="BQ166" s="117"/>
      <c r="BR166" s="117"/>
      <c r="BS166" s="117"/>
      <c r="BT166" s="117"/>
      <c r="BU166" s="117"/>
      <c r="BV166" s="117"/>
      <c r="BW166" s="117"/>
      <c r="BX166" s="117"/>
      <c r="BY166" s="117"/>
      <c r="BZ166" s="117"/>
      <c r="CA166" s="117"/>
      <c r="CB166" s="117"/>
      <c r="CC166" s="117"/>
      <c r="CD166" s="117"/>
      <c r="CE166" s="117"/>
      <c r="CF166" s="117"/>
      <c r="CG166" s="117"/>
      <c r="CH166" s="117"/>
      <c r="CI166" s="117"/>
      <c r="CJ166" s="117"/>
      <c r="CK166" s="117"/>
      <c r="CL166" s="117"/>
      <c r="CM166" s="117"/>
      <c r="CN166" s="117"/>
      <c r="CO166" s="117"/>
      <c r="CP166" s="117"/>
      <c r="CQ166" s="117"/>
      <c r="CR166" s="117"/>
      <c r="CS166" s="117"/>
      <c r="CT166" s="117"/>
      <c r="CU166" s="117"/>
      <c r="CV166" s="117"/>
      <c r="CW166" s="117"/>
      <c r="CX166" s="117"/>
      <c r="CY166" s="117"/>
      <c r="CZ166" s="117"/>
      <c r="DA166" s="117"/>
      <c r="DB166" s="118"/>
    </row>
    <row r="167" spans="1:106" s="88" customFormat="1" ht="12" customHeight="1">
      <c r="A167" s="241" t="s">
        <v>209</v>
      </c>
      <c r="B167" s="242"/>
      <c r="C167" s="242"/>
      <c r="D167" s="242"/>
      <c r="E167" s="242"/>
      <c r="F167" s="242"/>
      <c r="G167" s="242"/>
      <c r="H167" s="242"/>
      <c r="I167" s="242"/>
      <c r="J167" s="242"/>
      <c r="K167" s="242"/>
      <c r="L167" s="242"/>
      <c r="M167" s="242"/>
      <c r="N167" s="242"/>
      <c r="O167" s="242"/>
      <c r="P167" s="242"/>
      <c r="Q167" s="242"/>
      <c r="R167" s="242"/>
      <c r="S167" s="242"/>
      <c r="T167" s="242"/>
      <c r="U167" s="242"/>
      <c r="V167" s="242"/>
      <c r="W167" s="243"/>
      <c r="X167" s="244" t="s">
        <v>45</v>
      </c>
      <c r="Y167" s="245"/>
      <c r="Z167" s="245"/>
      <c r="AA167" s="245"/>
      <c r="AB167" s="253">
        <f ca="1">график!C26</f>
        <v>45170</v>
      </c>
      <c r="AC167" s="246"/>
      <c r="AD167" s="246"/>
      <c r="AE167" s="246"/>
      <c r="AF167" s="246"/>
      <c r="AG167" s="93" t="s">
        <v>1</v>
      </c>
      <c r="AH167" s="254">
        <f ca="1">график!E26</f>
        <v>45170</v>
      </c>
      <c r="AI167" s="247"/>
      <c r="AJ167" s="247"/>
      <c r="AK167" s="247"/>
      <c r="AL167" s="247"/>
      <c r="AM167" s="255" t="s">
        <v>158</v>
      </c>
      <c r="AN167" s="255"/>
      <c r="AO167" s="91" t="s">
        <v>28</v>
      </c>
      <c r="AP167" s="256">
        <f ca="1">график!F26</f>
        <v>1.0170999999999999</v>
      </c>
      <c r="AQ167" s="256"/>
      <c r="AR167" s="256"/>
      <c r="AS167" s="256"/>
      <c r="AT167" s="255" t="s">
        <v>159</v>
      </c>
      <c r="AU167" s="255"/>
      <c r="AV167" s="91" t="s">
        <v>28</v>
      </c>
      <c r="AW167" s="228">
        <f ca="1">график!G26</f>
        <v>1.0085</v>
      </c>
      <c r="AX167" s="228"/>
      <c r="AY167" s="228"/>
      <c r="AZ167" s="229"/>
      <c r="BA167" s="230"/>
      <c r="BB167" s="231"/>
      <c r="BC167" s="231"/>
      <c r="BD167" s="231"/>
      <c r="BE167" s="231"/>
      <c r="BF167" s="231"/>
      <c r="BG167" s="231"/>
      <c r="BH167" s="232"/>
      <c r="BI167" s="87"/>
      <c r="BJ167" s="87"/>
      <c r="BK167" s="87"/>
      <c r="BL167" s="87"/>
      <c r="BM167" s="87"/>
      <c r="BN167" s="87"/>
      <c r="BO167" s="87"/>
      <c r="BP167" s="87"/>
      <c r="BQ167" s="87"/>
      <c r="BR167" s="87"/>
      <c r="BS167" s="87"/>
      <c r="BT167" s="87"/>
      <c r="BU167" s="87"/>
      <c r="BV167" s="87"/>
      <c r="BW167" s="87"/>
      <c r="BX167" s="87"/>
      <c r="BY167" s="87"/>
      <c r="BZ167" s="87"/>
      <c r="CA167" s="87"/>
      <c r="CB167" s="87"/>
      <c r="CC167" s="87"/>
      <c r="CD167" s="87"/>
      <c r="CE167" s="87"/>
      <c r="CF167" s="87"/>
      <c r="CG167" s="87"/>
      <c r="CH167" s="87"/>
      <c r="CI167" s="87"/>
      <c r="CJ167" s="87"/>
      <c r="CK167" s="87"/>
      <c r="CL167" s="87"/>
      <c r="CM167" s="87"/>
      <c r="CN167" s="87"/>
      <c r="CO167" s="87"/>
      <c r="CP167" s="87"/>
      <c r="CQ167" s="87"/>
      <c r="CR167" s="87"/>
      <c r="CS167" s="87"/>
      <c r="CT167" s="87"/>
      <c r="CU167" s="87"/>
      <c r="CV167" s="87"/>
      <c r="CW167" s="87"/>
      <c r="CX167" s="87"/>
      <c r="CY167" s="87"/>
      <c r="CZ167" s="87"/>
      <c r="DA167" s="87"/>
      <c r="DB167" s="119"/>
    </row>
    <row r="168" spans="1:106" s="88" customFormat="1" ht="12" customHeight="1">
      <c r="A168" s="306" t="s">
        <v>208</v>
      </c>
      <c r="B168" s="307"/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U168" s="307"/>
      <c r="V168" s="307"/>
      <c r="W168" s="308"/>
      <c r="X168" s="224" t="s">
        <v>22</v>
      </c>
      <c r="Y168" s="225"/>
      <c r="Z168" s="225"/>
      <c r="AA168" s="94" t="s">
        <v>28</v>
      </c>
      <c r="AB168" s="313">
        <v>9.5</v>
      </c>
      <c r="AC168" s="313"/>
      <c r="AD168" s="313"/>
      <c r="AE168" s="313"/>
      <c r="AF168" s="313"/>
      <c r="AG168" s="313"/>
      <c r="AH168" s="313"/>
      <c r="AI168" s="313"/>
      <c r="AJ168" s="313"/>
      <c r="AK168" s="313"/>
      <c r="AL168" s="313"/>
      <c r="AM168" s="313"/>
      <c r="AN168" s="313"/>
      <c r="AO168" s="313"/>
      <c r="AP168" s="313"/>
      <c r="AQ168" s="313"/>
      <c r="AR168" s="313"/>
      <c r="AS168" s="313"/>
      <c r="AT168" s="258"/>
      <c r="AU168" s="258"/>
      <c r="AV168" s="98"/>
      <c r="AW168" s="226"/>
      <c r="AX168" s="226"/>
      <c r="AY168" s="226"/>
      <c r="AZ168" s="227"/>
      <c r="BA168" s="210">
        <f>AB168</f>
        <v>9.5</v>
      </c>
      <c r="BB168" s="211"/>
      <c r="BC168" s="211"/>
      <c r="BD168" s="211"/>
      <c r="BE168" s="211"/>
      <c r="BF168" s="212" t="s">
        <v>163</v>
      </c>
      <c r="BG168" s="212"/>
      <c r="BH168" s="213"/>
      <c r="BI168" s="87"/>
      <c r="BJ168" s="87"/>
      <c r="BK168" s="87"/>
      <c r="BL168" s="87"/>
      <c r="BM168" s="87"/>
      <c r="BN168" s="87"/>
      <c r="BO168" s="87"/>
      <c r="BP168" s="87"/>
      <c r="BQ168" s="87"/>
      <c r="BR168" s="87"/>
      <c r="BS168" s="87"/>
      <c r="BT168" s="87"/>
      <c r="BU168" s="87"/>
      <c r="BV168" s="87"/>
      <c r="BW168" s="87"/>
      <c r="BX168" s="87"/>
      <c r="BY168" s="87"/>
      <c r="BZ168" s="87"/>
      <c r="CA168" s="87"/>
      <c r="CB168" s="87"/>
      <c r="CC168" s="87"/>
      <c r="CD168" s="87"/>
      <c r="CE168" s="87"/>
      <c r="CF168" s="87"/>
      <c r="CG168" s="87"/>
      <c r="CH168" s="87"/>
      <c r="CI168" s="87"/>
      <c r="CJ168" s="87"/>
      <c r="CK168" s="87"/>
      <c r="CL168" s="87"/>
      <c r="CM168" s="87"/>
      <c r="CN168" s="87"/>
      <c r="CO168" s="87"/>
      <c r="CP168" s="87"/>
      <c r="CQ168" s="87"/>
      <c r="CR168" s="87"/>
      <c r="CS168" s="87"/>
      <c r="CT168" s="87"/>
      <c r="CU168" s="87"/>
      <c r="CV168" s="87"/>
      <c r="CW168" s="87"/>
      <c r="CX168" s="87"/>
      <c r="CY168" s="87"/>
      <c r="CZ168" s="87"/>
      <c r="DA168" s="87"/>
      <c r="DB168" s="119"/>
    </row>
    <row r="169" spans="1:106" s="88" customFormat="1" ht="12" customHeight="1">
      <c r="A169" s="309"/>
      <c r="B169" s="310"/>
      <c r="C169" s="310"/>
      <c r="D169" s="310"/>
      <c r="E169" s="310"/>
      <c r="F169" s="310"/>
      <c r="G169" s="310"/>
      <c r="H169" s="310"/>
      <c r="I169" s="310"/>
      <c r="J169" s="310"/>
      <c r="K169" s="310"/>
      <c r="L169" s="310"/>
      <c r="M169" s="310"/>
      <c r="N169" s="310"/>
      <c r="O169" s="310"/>
      <c r="P169" s="310"/>
      <c r="Q169" s="310"/>
      <c r="R169" s="310"/>
      <c r="S169" s="310"/>
      <c r="T169" s="310"/>
      <c r="U169" s="310"/>
      <c r="V169" s="310"/>
      <c r="W169" s="311"/>
      <c r="X169" s="220" t="s">
        <v>162</v>
      </c>
      <c r="Y169" s="221"/>
      <c r="Z169" s="221"/>
      <c r="AA169" s="97" t="s">
        <v>28</v>
      </c>
      <c r="AB169" s="222" t="str">
        <f ca="1">CONCATENATE(AB168," x ",$AO$17," x ", AP167," x [1 + 0,5 x (",AW167," - 1)] = ")</f>
        <v xml:space="preserve">9,5 x 307,7 x 1,0171 x [1 + 0,5 x (1,0085 - 1)] = </v>
      </c>
      <c r="AC169" s="222"/>
      <c r="AD169" s="222"/>
      <c r="AE169" s="222"/>
      <c r="AF169" s="222"/>
      <c r="AG169" s="222"/>
      <c r="AH169" s="222"/>
      <c r="AI169" s="222"/>
      <c r="AJ169" s="222"/>
      <c r="AK169" s="222"/>
      <c r="AL169" s="222"/>
      <c r="AM169" s="222"/>
      <c r="AN169" s="222"/>
      <c r="AO169" s="222"/>
      <c r="AP169" s="222"/>
      <c r="AQ169" s="222"/>
      <c r="AR169" s="222"/>
      <c r="AS169" s="222"/>
      <c r="AT169" s="222"/>
      <c r="AU169" s="222"/>
      <c r="AV169" s="222"/>
      <c r="AW169" s="222"/>
      <c r="AX169" s="222"/>
      <c r="AY169" s="222"/>
      <c r="AZ169" s="223"/>
      <c r="BA169" s="268">
        <f ca="1">ROUND(AB168*$AO$17*AP167*(1+0.5*(AW167-1)),2)</f>
        <v>2985.77</v>
      </c>
      <c r="BB169" s="269"/>
      <c r="BC169" s="269"/>
      <c r="BD169" s="269"/>
      <c r="BE169" s="269"/>
      <c r="BF169" s="270" t="s">
        <v>23</v>
      </c>
      <c r="BG169" s="270"/>
      <c r="BH169" s="271"/>
      <c r="BI169" s="87"/>
      <c r="BJ169" s="87"/>
      <c r="BK169" s="87"/>
      <c r="BL169" s="87"/>
      <c r="BM169" s="87"/>
      <c r="BN169" s="87"/>
      <c r="BO169" s="87"/>
      <c r="BP169" s="87"/>
      <c r="BQ169" s="87"/>
      <c r="BR169" s="87"/>
      <c r="BS169" s="87"/>
      <c r="BT169" s="87"/>
      <c r="BU169" s="87"/>
      <c r="BV169" s="87"/>
      <c r="BW169" s="87"/>
      <c r="BX169" s="87"/>
      <c r="BY169" s="87"/>
      <c r="BZ169" s="87"/>
      <c r="CA169" s="87"/>
      <c r="CB169" s="87"/>
      <c r="CC169" s="87"/>
      <c r="CD169" s="87"/>
      <c r="CE169" s="87"/>
      <c r="CF169" s="87"/>
      <c r="CG169" s="87"/>
      <c r="CH169" s="87"/>
      <c r="CI169" s="87"/>
      <c r="CJ169" s="87"/>
      <c r="CK169" s="87"/>
      <c r="CL169" s="87"/>
      <c r="CM169" s="87"/>
      <c r="CN169" s="87"/>
      <c r="CO169" s="87"/>
      <c r="CP169" s="87"/>
      <c r="CQ169" s="87"/>
      <c r="CR169" s="87"/>
      <c r="CS169" s="87"/>
      <c r="CT169" s="87"/>
      <c r="CU169" s="87"/>
      <c r="CV169" s="87"/>
      <c r="CW169" s="87"/>
      <c r="CX169" s="87"/>
      <c r="CY169" s="87"/>
      <c r="CZ169" s="87"/>
      <c r="DA169" s="87"/>
      <c r="DB169" s="119"/>
    </row>
    <row r="170" spans="1:106" s="90" customFormat="1" ht="12" customHeight="1">
      <c r="A170" s="239" t="str">
        <f ca="1">график!A27</f>
        <v>6.2</v>
      </c>
      <c r="B170" s="240"/>
      <c r="C170" s="205" t="str">
        <f ca="1">график!B27</f>
        <v>организация выбора поставщиков технологического оборудования</v>
      </c>
      <c r="D170" s="205"/>
      <c r="E170" s="205"/>
      <c r="F170" s="205"/>
      <c r="G170" s="205"/>
      <c r="H170" s="205"/>
      <c r="I170" s="205"/>
      <c r="J170" s="205"/>
      <c r="K170" s="205"/>
      <c r="L170" s="205"/>
      <c r="M170" s="205"/>
      <c r="N170" s="205"/>
      <c r="O170" s="205"/>
      <c r="P170" s="205"/>
      <c r="Q170" s="205"/>
      <c r="R170" s="205"/>
      <c r="S170" s="205"/>
      <c r="T170" s="205"/>
      <c r="U170" s="205"/>
      <c r="V170" s="205"/>
      <c r="W170" s="205"/>
      <c r="X170" s="205"/>
      <c r="Y170" s="205"/>
      <c r="Z170" s="205"/>
      <c r="AA170" s="205"/>
      <c r="AB170" s="205"/>
      <c r="AC170" s="205"/>
      <c r="AD170" s="205"/>
      <c r="AE170" s="205"/>
      <c r="AF170" s="205"/>
      <c r="AG170" s="205"/>
      <c r="AH170" s="205"/>
      <c r="AI170" s="205"/>
      <c r="AJ170" s="205"/>
      <c r="AK170" s="205"/>
      <c r="AL170" s="205"/>
      <c r="AM170" s="205"/>
      <c r="AN170" s="205"/>
      <c r="AO170" s="205"/>
      <c r="AP170" s="205"/>
      <c r="AQ170" s="205"/>
      <c r="AR170" s="205"/>
      <c r="AS170" s="205"/>
      <c r="AT170" s="205"/>
      <c r="AU170" s="205"/>
      <c r="AV170" s="205"/>
      <c r="AW170" s="205"/>
      <c r="AX170" s="205"/>
      <c r="AY170" s="205"/>
      <c r="AZ170" s="205"/>
      <c r="BA170" s="412" t="s">
        <v>263</v>
      </c>
      <c r="BB170" s="412"/>
      <c r="BC170" s="412"/>
      <c r="BD170" s="412"/>
      <c r="BE170" s="412"/>
      <c r="BF170" s="412"/>
      <c r="BG170" s="412"/>
      <c r="BH170" s="413"/>
      <c r="BI170" s="117"/>
      <c r="BJ170" s="117"/>
      <c r="BK170" s="117"/>
      <c r="BL170" s="117"/>
      <c r="BM170" s="117"/>
      <c r="BN170" s="117"/>
      <c r="BO170" s="117"/>
      <c r="BP170" s="117"/>
      <c r="BQ170" s="117"/>
      <c r="BR170" s="117"/>
      <c r="BS170" s="117"/>
      <c r="BT170" s="117"/>
      <c r="BU170" s="117"/>
      <c r="BV170" s="117"/>
      <c r="BW170" s="117"/>
      <c r="BX170" s="117"/>
      <c r="BY170" s="117"/>
      <c r="BZ170" s="117"/>
      <c r="CA170" s="117"/>
      <c r="CB170" s="117"/>
      <c r="CC170" s="117"/>
      <c r="CD170" s="117"/>
      <c r="CE170" s="117"/>
      <c r="CF170" s="117"/>
      <c r="CG170" s="117"/>
      <c r="CH170" s="117"/>
      <c r="CI170" s="117"/>
      <c r="CJ170" s="117"/>
      <c r="CK170" s="117"/>
      <c r="CL170" s="117"/>
      <c r="CM170" s="117"/>
      <c r="CN170" s="117"/>
      <c r="CO170" s="117"/>
      <c r="CP170" s="117"/>
      <c r="CQ170" s="117"/>
      <c r="CR170" s="117"/>
      <c r="CS170" s="117"/>
      <c r="CT170" s="117"/>
      <c r="CU170" s="117"/>
      <c r="CV170" s="117"/>
      <c r="CW170" s="117"/>
      <c r="CX170" s="117"/>
      <c r="CY170" s="117"/>
      <c r="CZ170" s="117"/>
      <c r="DA170" s="117"/>
      <c r="DB170" s="118"/>
    </row>
    <row r="171" spans="1:106" s="88" customFormat="1" ht="12" customHeight="1">
      <c r="A171" s="241" t="s">
        <v>210</v>
      </c>
      <c r="B171" s="242"/>
      <c r="C171" s="242"/>
      <c r="D171" s="242"/>
      <c r="E171" s="242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242"/>
      <c r="S171" s="242"/>
      <c r="T171" s="242"/>
      <c r="U171" s="242"/>
      <c r="V171" s="242"/>
      <c r="W171" s="243"/>
      <c r="X171" s="244" t="s">
        <v>45</v>
      </c>
      <c r="Y171" s="245"/>
      <c r="Z171" s="245"/>
      <c r="AA171" s="245"/>
      <c r="AB171" s="253">
        <f ca="1">график!C27</f>
        <v>45413</v>
      </c>
      <c r="AC171" s="246"/>
      <c r="AD171" s="246"/>
      <c r="AE171" s="246"/>
      <c r="AF171" s="246"/>
      <c r="AG171" s="93" t="s">
        <v>1</v>
      </c>
      <c r="AH171" s="254">
        <f ca="1">график!E27</f>
        <v>45444</v>
      </c>
      <c r="AI171" s="247"/>
      <c r="AJ171" s="247"/>
      <c r="AK171" s="247"/>
      <c r="AL171" s="247"/>
      <c r="AM171" s="255" t="s">
        <v>158</v>
      </c>
      <c r="AN171" s="255"/>
      <c r="AO171" s="91" t="s">
        <v>28</v>
      </c>
      <c r="AP171" s="256">
        <f ca="1">график!F27</f>
        <v>1.0844</v>
      </c>
      <c r="AQ171" s="256"/>
      <c r="AR171" s="256"/>
      <c r="AS171" s="256"/>
      <c r="AT171" s="255" t="s">
        <v>159</v>
      </c>
      <c r="AU171" s="255"/>
      <c r="AV171" s="91" t="s">
        <v>28</v>
      </c>
      <c r="AW171" s="228">
        <f ca="1">график!G27</f>
        <v>1.0153000000000001</v>
      </c>
      <c r="AX171" s="228"/>
      <c r="AY171" s="228"/>
      <c r="AZ171" s="229"/>
      <c r="BA171" s="230"/>
      <c r="BB171" s="231"/>
      <c r="BC171" s="231"/>
      <c r="BD171" s="231"/>
      <c r="BE171" s="231"/>
      <c r="BF171" s="231"/>
      <c r="BG171" s="231"/>
      <c r="BH171" s="232"/>
      <c r="BI171" s="87"/>
      <c r="BJ171" s="87"/>
      <c r="BK171" s="87"/>
      <c r="BL171" s="87"/>
      <c r="BM171" s="87"/>
      <c r="BN171" s="87"/>
      <c r="BO171" s="87"/>
      <c r="BP171" s="87"/>
      <c r="BQ171" s="87"/>
      <c r="BR171" s="87"/>
      <c r="BS171" s="87"/>
      <c r="BT171" s="87"/>
      <c r="BU171" s="87"/>
      <c r="BV171" s="87"/>
      <c r="BW171" s="87"/>
      <c r="BX171" s="87"/>
      <c r="BY171" s="87"/>
      <c r="BZ171" s="87"/>
      <c r="CA171" s="87"/>
      <c r="CB171" s="87"/>
      <c r="CC171" s="87"/>
      <c r="CD171" s="87"/>
      <c r="CE171" s="87"/>
      <c r="CF171" s="87"/>
      <c r="CG171" s="87"/>
      <c r="CH171" s="87"/>
      <c r="CI171" s="87"/>
      <c r="CJ171" s="87"/>
      <c r="CK171" s="87"/>
      <c r="CL171" s="87"/>
      <c r="CM171" s="87"/>
      <c r="CN171" s="87"/>
      <c r="CO171" s="87"/>
      <c r="CP171" s="87"/>
      <c r="CQ171" s="87"/>
      <c r="CR171" s="87"/>
      <c r="CS171" s="87"/>
      <c r="CT171" s="87"/>
      <c r="CU171" s="87"/>
      <c r="CV171" s="87"/>
      <c r="CW171" s="87"/>
      <c r="CX171" s="87"/>
      <c r="CY171" s="87"/>
      <c r="CZ171" s="87"/>
      <c r="DA171" s="87"/>
      <c r="DB171" s="119"/>
    </row>
    <row r="172" spans="1:106" s="88" customFormat="1" ht="12" customHeight="1">
      <c r="A172" s="306" t="s">
        <v>211</v>
      </c>
      <c r="B172" s="307"/>
      <c r="C172" s="307"/>
      <c r="D172" s="307"/>
      <c r="E172" s="307"/>
      <c r="F172" s="307"/>
      <c r="G172" s="307"/>
      <c r="H172" s="307"/>
      <c r="I172" s="307"/>
      <c r="J172" s="307"/>
      <c r="K172" s="307"/>
      <c r="L172" s="307"/>
      <c r="M172" s="307"/>
      <c r="N172" s="307"/>
      <c r="O172" s="307"/>
      <c r="P172" s="307"/>
      <c r="Q172" s="307"/>
      <c r="R172" s="307"/>
      <c r="S172" s="307"/>
      <c r="T172" s="307"/>
      <c r="U172" s="307"/>
      <c r="V172" s="307"/>
      <c r="W172" s="308"/>
      <c r="X172" s="414" t="s">
        <v>214</v>
      </c>
      <c r="Y172" s="415"/>
      <c r="Z172" s="415"/>
      <c r="AA172" s="415"/>
      <c r="AB172" s="415"/>
      <c r="AC172" s="415"/>
      <c r="AD172" s="415"/>
      <c r="AE172" s="415"/>
      <c r="AF172" s="415"/>
      <c r="AG172" s="415"/>
      <c r="AH172" s="415"/>
      <c r="AI172" s="415"/>
      <c r="AJ172" s="415"/>
      <c r="AK172" s="415"/>
      <c r="AL172" s="415"/>
      <c r="AM172" s="415"/>
      <c r="AN172" s="415"/>
      <c r="AO172" s="98" t="s">
        <v>28</v>
      </c>
      <c r="AP172" s="226">
        <v>2</v>
      </c>
      <c r="AQ172" s="226"/>
      <c r="AR172" s="226"/>
      <c r="AS172" s="226"/>
      <c r="AT172" s="258"/>
      <c r="AU172" s="258"/>
      <c r="AV172" s="98"/>
      <c r="AW172" s="226"/>
      <c r="AX172" s="226"/>
      <c r="AY172" s="226"/>
      <c r="AZ172" s="227"/>
      <c r="BA172" s="424"/>
      <c r="BB172" s="425"/>
      <c r="BC172" s="425"/>
      <c r="BD172" s="425"/>
      <c r="BE172" s="425"/>
      <c r="BF172" s="425"/>
      <c r="BG172" s="425"/>
      <c r="BH172" s="426"/>
      <c r="BI172" s="87"/>
      <c r="BJ172" s="87"/>
      <c r="BK172" s="87"/>
      <c r="BL172" s="87"/>
      <c r="BM172" s="87"/>
      <c r="BN172" s="87"/>
      <c r="BO172" s="87"/>
      <c r="BP172" s="87"/>
      <c r="BQ172" s="87"/>
      <c r="BR172" s="87"/>
      <c r="BS172" s="87"/>
      <c r="BT172" s="87"/>
      <c r="BU172" s="87"/>
      <c r="BV172" s="87"/>
      <c r="BW172" s="87"/>
      <c r="BX172" s="87"/>
      <c r="BY172" s="87"/>
      <c r="BZ172" s="87"/>
      <c r="CA172" s="87"/>
      <c r="CB172" s="87"/>
      <c r="CC172" s="87"/>
      <c r="CD172" s="87"/>
      <c r="CE172" s="87"/>
      <c r="CF172" s="87"/>
      <c r="CG172" s="87"/>
      <c r="CH172" s="87"/>
      <c r="CI172" s="87"/>
      <c r="CJ172" s="87"/>
      <c r="CK172" s="87"/>
      <c r="CL172" s="87"/>
      <c r="CM172" s="87"/>
      <c r="CN172" s="87"/>
      <c r="CO172" s="87"/>
      <c r="CP172" s="87"/>
      <c r="CQ172" s="87"/>
      <c r="CR172" s="87"/>
      <c r="CS172" s="87"/>
      <c r="CT172" s="87"/>
      <c r="CU172" s="87"/>
      <c r="CV172" s="87"/>
      <c r="CW172" s="87"/>
      <c r="CX172" s="87"/>
      <c r="CY172" s="87"/>
      <c r="CZ172" s="87"/>
      <c r="DA172" s="87"/>
      <c r="DB172" s="119"/>
    </row>
    <row r="173" spans="1:106" s="88" customFormat="1" ht="12" customHeight="1">
      <c r="A173" s="306"/>
      <c r="B173" s="307"/>
      <c r="C173" s="307"/>
      <c r="D173" s="307"/>
      <c r="E173" s="307"/>
      <c r="F173" s="307"/>
      <c r="G173" s="307"/>
      <c r="H173" s="307"/>
      <c r="I173" s="307"/>
      <c r="J173" s="307"/>
      <c r="K173" s="307"/>
      <c r="L173" s="307"/>
      <c r="M173" s="307"/>
      <c r="N173" s="307"/>
      <c r="O173" s="307"/>
      <c r="P173" s="307"/>
      <c r="Q173" s="307"/>
      <c r="R173" s="307"/>
      <c r="S173" s="307"/>
      <c r="T173" s="307"/>
      <c r="U173" s="307"/>
      <c r="V173" s="307"/>
      <c r="W173" s="308"/>
      <c r="X173" s="224" t="s">
        <v>22</v>
      </c>
      <c r="Y173" s="225"/>
      <c r="Z173" s="225"/>
      <c r="AA173" s="94" t="s">
        <v>28</v>
      </c>
      <c r="AB173" s="313">
        <v>6</v>
      </c>
      <c r="AC173" s="313"/>
      <c r="AD173" s="313"/>
      <c r="AE173" s="313"/>
      <c r="AF173" s="313"/>
      <c r="AG173" s="313"/>
      <c r="AH173" s="313"/>
      <c r="AI173" s="313"/>
      <c r="AJ173" s="313"/>
      <c r="AK173" s="313"/>
      <c r="AL173" s="313"/>
      <c r="AM173" s="313"/>
      <c r="AN173" s="313"/>
      <c r="AO173" s="313"/>
      <c r="AP173" s="313"/>
      <c r="AQ173" s="313"/>
      <c r="AR173" s="313"/>
      <c r="AS173" s="313"/>
      <c r="AT173" s="109"/>
      <c r="AU173" s="109"/>
      <c r="AV173" s="109"/>
      <c r="AW173" s="109"/>
      <c r="AX173" s="109"/>
      <c r="AY173" s="109"/>
      <c r="AZ173" s="110"/>
      <c r="BA173" s="210">
        <f>AB173</f>
        <v>6</v>
      </c>
      <c r="BB173" s="211"/>
      <c r="BC173" s="211"/>
      <c r="BD173" s="211"/>
      <c r="BE173" s="211"/>
      <c r="BF173" s="212" t="s">
        <v>163</v>
      </c>
      <c r="BG173" s="212"/>
      <c r="BH173" s="213"/>
      <c r="BI173" s="87"/>
      <c r="BJ173" s="87"/>
      <c r="BK173" s="87"/>
      <c r="BL173" s="87"/>
      <c r="BM173" s="87"/>
      <c r="BN173" s="87"/>
      <c r="BO173" s="87"/>
      <c r="BP173" s="87"/>
      <c r="BQ173" s="87"/>
      <c r="BR173" s="87"/>
      <c r="BS173" s="87"/>
      <c r="BT173" s="87"/>
      <c r="BU173" s="87"/>
      <c r="BV173" s="87"/>
      <c r="BW173" s="87"/>
      <c r="BX173" s="87"/>
      <c r="BY173" s="87"/>
      <c r="BZ173" s="87"/>
      <c r="CA173" s="87"/>
      <c r="CB173" s="87"/>
      <c r="CC173" s="87"/>
      <c r="CD173" s="87"/>
      <c r="CE173" s="87"/>
      <c r="CF173" s="87"/>
      <c r="CG173" s="87"/>
      <c r="CH173" s="87"/>
      <c r="CI173" s="87"/>
      <c r="CJ173" s="87"/>
      <c r="CK173" s="87"/>
      <c r="CL173" s="87"/>
      <c r="CM173" s="87"/>
      <c r="CN173" s="87"/>
      <c r="CO173" s="87"/>
      <c r="CP173" s="87"/>
      <c r="CQ173" s="87"/>
      <c r="CR173" s="87"/>
      <c r="CS173" s="87"/>
      <c r="CT173" s="87"/>
      <c r="CU173" s="87"/>
      <c r="CV173" s="87"/>
      <c r="CW173" s="87"/>
      <c r="CX173" s="87"/>
      <c r="CY173" s="87"/>
      <c r="CZ173" s="87"/>
      <c r="DA173" s="87"/>
      <c r="DB173" s="119"/>
    </row>
    <row r="174" spans="1:106" s="88" customFormat="1" ht="12" customHeight="1">
      <c r="A174" s="286" t="s">
        <v>212</v>
      </c>
      <c r="B174" s="287"/>
      <c r="C174" s="287"/>
      <c r="D174" s="287"/>
      <c r="E174" s="287"/>
      <c r="F174" s="287"/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8"/>
      <c r="X174" s="208" t="s">
        <v>182</v>
      </c>
      <c r="Y174" s="209"/>
      <c r="Z174" s="209"/>
      <c r="AA174" s="44" t="s">
        <v>28</v>
      </c>
      <c r="AB174" s="276">
        <v>1.05</v>
      </c>
      <c r="AC174" s="276"/>
      <c r="AD174" s="276"/>
      <c r="AE174" s="276"/>
      <c r="AF174" s="225" t="s">
        <v>190</v>
      </c>
      <c r="AG174" s="225"/>
      <c r="AH174" s="225"/>
      <c r="AI174" s="149" t="s">
        <v>28</v>
      </c>
      <c r="AJ174" s="407" t="str">
        <f>CONCATENATE(AB173," x ",AB174," = ")</f>
        <v xml:space="preserve">6 x 1,05 = </v>
      </c>
      <c r="AK174" s="407"/>
      <c r="AL174" s="407"/>
      <c r="AM174" s="407"/>
      <c r="AN174" s="407"/>
      <c r="AO174" s="407"/>
      <c r="AP174" s="407"/>
      <c r="AQ174" s="407"/>
      <c r="AR174" s="407"/>
      <c r="AS174" s="407"/>
      <c r="AT174" s="407"/>
      <c r="AU174" s="407"/>
      <c r="AV174" s="407"/>
      <c r="AW174" s="407"/>
      <c r="AX174" s="407"/>
      <c r="AY174" s="407"/>
      <c r="AZ174" s="416"/>
      <c r="BA174" s="210">
        <f>BA173*AB174</f>
        <v>6.3000000000000007</v>
      </c>
      <c r="BB174" s="211"/>
      <c r="BC174" s="211"/>
      <c r="BD174" s="211"/>
      <c r="BE174" s="211"/>
      <c r="BF174" s="212" t="s">
        <v>163</v>
      </c>
      <c r="BG174" s="212"/>
      <c r="BH174" s="213"/>
      <c r="BI174" s="87"/>
      <c r="BJ174" s="155">
        <f>ROUND(BA174*AP172,2)</f>
        <v>12.6</v>
      </c>
      <c r="BK174" s="87"/>
      <c r="BL174" s="87"/>
      <c r="BM174" s="87"/>
      <c r="BN174" s="87"/>
      <c r="BO174" s="87"/>
      <c r="BP174" s="87"/>
      <c r="BQ174" s="87"/>
      <c r="BR174" s="87"/>
      <c r="BS174" s="87"/>
      <c r="BT174" s="87"/>
      <c r="BU174" s="87"/>
      <c r="BV174" s="87"/>
      <c r="BW174" s="87"/>
      <c r="BX174" s="87"/>
      <c r="BY174" s="87"/>
      <c r="BZ174" s="87"/>
      <c r="CA174" s="87"/>
      <c r="CB174" s="87"/>
      <c r="CC174" s="87"/>
      <c r="CD174" s="87"/>
      <c r="CE174" s="87"/>
      <c r="CF174" s="87"/>
      <c r="CG174" s="87"/>
      <c r="CH174" s="87"/>
      <c r="CI174" s="87"/>
      <c r="CJ174" s="87"/>
      <c r="CK174" s="87"/>
      <c r="CL174" s="87"/>
      <c r="CM174" s="87"/>
      <c r="CN174" s="87"/>
      <c r="CO174" s="87"/>
      <c r="CP174" s="87"/>
      <c r="CQ174" s="87"/>
      <c r="CR174" s="87"/>
      <c r="CS174" s="87"/>
      <c r="CT174" s="87"/>
      <c r="CU174" s="87"/>
      <c r="CV174" s="87"/>
      <c r="CW174" s="87"/>
      <c r="CX174" s="87"/>
      <c r="CY174" s="87"/>
      <c r="CZ174" s="87"/>
      <c r="DA174" s="87"/>
      <c r="DB174" s="119"/>
    </row>
    <row r="175" spans="1:106" s="88" customFormat="1" ht="12" customHeight="1">
      <c r="A175" s="214"/>
      <c r="B175" s="215"/>
      <c r="C175" s="113"/>
      <c r="D175" s="417"/>
      <c r="E175" s="417"/>
      <c r="F175" s="417"/>
      <c r="G175" s="417"/>
      <c r="H175" s="417"/>
      <c r="I175" s="120"/>
      <c r="J175" s="120"/>
      <c r="K175" s="120"/>
      <c r="L175" s="120"/>
      <c r="M175" s="120"/>
      <c r="N175" s="120"/>
      <c r="O175" s="120"/>
      <c r="P175" s="120"/>
      <c r="Q175" s="120"/>
      <c r="R175" s="215"/>
      <c r="S175" s="215"/>
      <c r="T175" s="113"/>
      <c r="U175" s="217"/>
      <c r="V175" s="218"/>
      <c r="W175" s="219"/>
      <c r="X175" s="220" t="s">
        <v>162</v>
      </c>
      <c r="Y175" s="221"/>
      <c r="Z175" s="221"/>
      <c r="AA175" s="97" t="s">
        <v>28</v>
      </c>
      <c r="AB175" s="222" t="str">
        <f ca="1">CONCATENATE(BA174," x ",AP172," x ",$AO$17," x ",AP171, " x [1 + 0,5 x (",AW171," - 1)] = ")</f>
        <v xml:space="preserve">6,3 x 2 x 307,7 x 1,0844 x [1 + 0,5 x (1,0153 - 1)] = </v>
      </c>
      <c r="AC175" s="222"/>
      <c r="AD175" s="222"/>
      <c r="AE175" s="222"/>
      <c r="AF175" s="222"/>
      <c r="AG175" s="222"/>
      <c r="AH175" s="222"/>
      <c r="AI175" s="222"/>
      <c r="AJ175" s="222"/>
      <c r="AK175" s="222"/>
      <c r="AL175" s="222"/>
      <c r="AM175" s="222"/>
      <c r="AN175" s="222"/>
      <c r="AO175" s="222"/>
      <c r="AP175" s="222"/>
      <c r="AQ175" s="222"/>
      <c r="AR175" s="222"/>
      <c r="AS175" s="222"/>
      <c r="AT175" s="222"/>
      <c r="AU175" s="222"/>
      <c r="AV175" s="222"/>
      <c r="AW175" s="222"/>
      <c r="AX175" s="222"/>
      <c r="AY175" s="222"/>
      <c r="AZ175" s="223"/>
      <c r="BA175" s="268">
        <f ca="1">ROUND(BA174*AP172*$AO$17*AP171*(1+0.5*(AW171-1)),2)</f>
        <v>4236.3999999999996</v>
      </c>
      <c r="BB175" s="269"/>
      <c r="BC175" s="269"/>
      <c r="BD175" s="269"/>
      <c r="BE175" s="269"/>
      <c r="BF175" s="270" t="s">
        <v>23</v>
      </c>
      <c r="BG175" s="270"/>
      <c r="BH175" s="271"/>
      <c r="BI175" s="87"/>
      <c r="BJ175" s="87"/>
      <c r="BK175" s="87"/>
      <c r="BL175" s="87"/>
      <c r="BM175" s="87"/>
      <c r="BN175" s="87"/>
      <c r="BO175" s="87"/>
      <c r="BP175" s="87"/>
      <c r="BQ175" s="87"/>
      <c r="BR175" s="87"/>
      <c r="BS175" s="87"/>
      <c r="BT175" s="87"/>
      <c r="BU175" s="87"/>
      <c r="BV175" s="87"/>
      <c r="BW175" s="87"/>
      <c r="BX175" s="87"/>
      <c r="BY175" s="87"/>
      <c r="BZ175" s="87"/>
      <c r="CA175" s="87"/>
      <c r="CB175" s="87"/>
      <c r="CC175" s="87"/>
      <c r="CD175" s="87"/>
      <c r="CE175" s="87"/>
      <c r="CF175" s="87"/>
      <c r="CG175" s="87"/>
      <c r="CH175" s="87"/>
      <c r="CI175" s="87"/>
      <c r="CJ175" s="87"/>
      <c r="CK175" s="87"/>
      <c r="CL175" s="87"/>
      <c r="CM175" s="87"/>
      <c r="CN175" s="87"/>
      <c r="CO175" s="87"/>
      <c r="CP175" s="87"/>
      <c r="CQ175" s="87"/>
      <c r="CR175" s="87"/>
      <c r="CS175" s="87"/>
      <c r="CT175" s="87"/>
      <c r="CU175" s="87"/>
      <c r="CV175" s="87"/>
      <c r="CW175" s="87"/>
      <c r="CX175" s="87"/>
      <c r="CY175" s="87"/>
      <c r="CZ175" s="87"/>
      <c r="DA175" s="87"/>
      <c r="DB175" s="119"/>
    </row>
    <row r="176" spans="1:106" s="90" customFormat="1" ht="12" customHeight="1">
      <c r="A176" s="239" t="str">
        <f ca="1">график!A28</f>
        <v>6.3</v>
      </c>
      <c r="B176" s="240"/>
      <c r="C176" s="205" t="str">
        <f ca="1">график!B28</f>
        <v>организация выбора генеральной проектной организации (при генподрядной схеме разработки проектной документации)</v>
      </c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  <c r="O176" s="205"/>
      <c r="P176" s="205"/>
      <c r="Q176" s="205"/>
      <c r="R176" s="205"/>
      <c r="S176" s="205"/>
      <c r="T176" s="205"/>
      <c r="U176" s="205"/>
      <c r="V176" s="205"/>
      <c r="W176" s="205"/>
      <c r="X176" s="205"/>
      <c r="Y176" s="205"/>
      <c r="Z176" s="205"/>
      <c r="AA176" s="205"/>
      <c r="AB176" s="205"/>
      <c r="AC176" s="205"/>
      <c r="AD176" s="205"/>
      <c r="AE176" s="205"/>
      <c r="AF176" s="205"/>
      <c r="AG176" s="205"/>
      <c r="AH176" s="205"/>
      <c r="AI176" s="205"/>
      <c r="AJ176" s="205"/>
      <c r="AK176" s="205"/>
      <c r="AL176" s="205"/>
      <c r="AM176" s="205"/>
      <c r="AN176" s="205"/>
      <c r="AO176" s="205"/>
      <c r="AP176" s="205"/>
      <c r="AQ176" s="205"/>
      <c r="AR176" s="205"/>
      <c r="AS176" s="205"/>
      <c r="AT176" s="205"/>
      <c r="AU176" s="205"/>
      <c r="AV176" s="205"/>
      <c r="AW176" s="205"/>
      <c r="AX176" s="205"/>
      <c r="AY176" s="205"/>
      <c r="AZ176" s="205"/>
      <c r="BA176" s="251" t="s">
        <v>245</v>
      </c>
      <c r="BB176" s="251"/>
      <c r="BC176" s="251"/>
      <c r="BD176" s="251"/>
      <c r="BE176" s="251"/>
      <c r="BF176" s="251"/>
      <c r="BG176" s="251"/>
      <c r="BH176" s="252"/>
      <c r="BI176" s="117"/>
      <c r="BJ176" s="117"/>
      <c r="BK176" s="117"/>
      <c r="BL176" s="117"/>
      <c r="BM176" s="117"/>
      <c r="BN176" s="117"/>
      <c r="BO176" s="117"/>
      <c r="BP176" s="117"/>
      <c r="BQ176" s="117"/>
      <c r="BR176" s="117"/>
      <c r="BS176" s="117"/>
      <c r="BT176" s="117"/>
      <c r="BU176" s="117"/>
      <c r="BV176" s="117"/>
      <c r="BW176" s="117"/>
      <c r="BX176" s="117"/>
      <c r="BY176" s="117"/>
      <c r="BZ176" s="117"/>
      <c r="CA176" s="117"/>
      <c r="CB176" s="117"/>
      <c r="CC176" s="117"/>
      <c r="CD176" s="117"/>
      <c r="CE176" s="117"/>
      <c r="CF176" s="117"/>
      <c r="CG176" s="117"/>
      <c r="CH176" s="117"/>
      <c r="CI176" s="117"/>
      <c r="CJ176" s="117"/>
      <c r="CK176" s="117"/>
      <c r="CL176" s="117"/>
      <c r="CM176" s="117"/>
      <c r="CN176" s="117"/>
      <c r="CO176" s="117"/>
      <c r="CP176" s="117"/>
      <c r="CQ176" s="117"/>
      <c r="CR176" s="117"/>
      <c r="CS176" s="117"/>
      <c r="CT176" s="117"/>
      <c r="CU176" s="117"/>
      <c r="CV176" s="117"/>
      <c r="CW176" s="117"/>
      <c r="CX176" s="117"/>
      <c r="CY176" s="117"/>
      <c r="CZ176" s="117"/>
      <c r="DA176" s="117"/>
      <c r="DB176" s="118"/>
    </row>
    <row r="177" spans="1:106" s="88" customFormat="1" ht="12" customHeight="1">
      <c r="A177" s="241" t="s">
        <v>209</v>
      </c>
      <c r="B177" s="242"/>
      <c r="C177" s="242"/>
      <c r="D177" s="242"/>
      <c r="E177" s="242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242"/>
      <c r="S177" s="242"/>
      <c r="T177" s="242"/>
      <c r="U177" s="242"/>
      <c r="V177" s="242"/>
      <c r="W177" s="243"/>
      <c r="X177" s="244" t="s">
        <v>45</v>
      </c>
      <c r="Y177" s="245"/>
      <c r="Z177" s="245"/>
      <c r="AA177" s="245"/>
      <c r="AB177" s="253">
        <f ca="1">график!C28</f>
        <v>45261</v>
      </c>
      <c r="AC177" s="246"/>
      <c r="AD177" s="246"/>
      <c r="AE177" s="246"/>
      <c r="AF177" s="246"/>
      <c r="AG177" s="93" t="s">
        <v>1</v>
      </c>
      <c r="AH177" s="254">
        <f ca="1">график!E28</f>
        <v>45261</v>
      </c>
      <c r="AI177" s="247"/>
      <c r="AJ177" s="247"/>
      <c r="AK177" s="247"/>
      <c r="AL177" s="247"/>
      <c r="AM177" s="255" t="s">
        <v>158</v>
      </c>
      <c r="AN177" s="255"/>
      <c r="AO177" s="91" t="s">
        <v>28</v>
      </c>
      <c r="AP177" s="256">
        <f ca="1">график!F28</f>
        <v>1.0431999999999999</v>
      </c>
      <c r="AQ177" s="256"/>
      <c r="AR177" s="256"/>
      <c r="AS177" s="256"/>
      <c r="AT177" s="255" t="s">
        <v>159</v>
      </c>
      <c r="AU177" s="255"/>
      <c r="AV177" s="91" t="s">
        <v>28</v>
      </c>
      <c r="AW177" s="228">
        <f ca="1">график!G28</f>
        <v>1.0085</v>
      </c>
      <c r="AX177" s="228"/>
      <c r="AY177" s="228"/>
      <c r="AZ177" s="229"/>
      <c r="BA177" s="230"/>
      <c r="BB177" s="231"/>
      <c r="BC177" s="231"/>
      <c r="BD177" s="231"/>
      <c r="BE177" s="231"/>
      <c r="BF177" s="231"/>
      <c r="BG177" s="231"/>
      <c r="BH177" s="232"/>
      <c r="BI177" s="87"/>
      <c r="BJ177" s="87"/>
      <c r="BK177" s="87"/>
      <c r="BL177" s="87"/>
      <c r="BM177" s="87"/>
      <c r="BN177" s="87"/>
      <c r="BO177" s="87"/>
      <c r="BP177" s="87"/>
      <c r="BQ177" s="87"/>
      <c r="BR177" s="87"/>
      <c r="BS177" s="87"/>
      <c r="BT177" s="87"/>
      <c r="BU177" s="87"/>
      <c r="BV177" s="87"/>
      <c r="BW177" s="87"/>
      <c r="BX177" s="87"/>
      <c r="BY177" s="87"/>
      <c r="BZ177" s="87"/>
      <c r="CA177" s="87"/>
      <c r="CB177" s="87"/>
      <c r="CC177" s="87"/>
      <c r="CD177" s="87"/>
      <c r="CE177" s="87"/>
      <c r="CF177" s="87"/>
      <c r="CG177" s="87"/>
      <c r="CH177" s="87"/>
      <c r="CI177" s="87"/>
      <c r="CJ177" s="87"/>
      <c r="CK177" s="87"/>
      <c r="CL177" s="87"/>
      <c r="CM177" s="87"/>
      <c r="CN177" s="87"/>
      <c r="CO177" s="87"/>
      <c r="CP177" s="87"/>
      <c r="CQ177" s="87"/>
      <c r="CR177" s="87"/>
      <c r="CS177" s="87"/>
      <c r="CT177" s="87"/>
      <c r="CU177" s="87"/>
      <c r="CV177" s="87"/>
      <c r="CW177" s="87"/>
      <c r="CX177" s="87"/>
      <c r="CY177" s="87"/>
      <c r="CZ177" s="87"/>
      <c r="DA177" s="87"/>
      <c r="DB177" s="119"/>
    </row>
    <row r="178" spans="1:106" s="88" customFormat="1" ht="12" customHeight="1">
      <c r="A178" s="306" t="s">
        <v>208</v>
      </c>
      <c r="B178" s="307"/>
      <c r="C178" s="307"/>
      <c r="D178" s="307"/>
      <c r="E178" s="307"/>
      <c r="F178" s="307"/>
      <c r="G178" s="307"/>
      <c r="H178" s="307"/>
      <c r="I178" s="307"/>
      <c r="J178" s="307"/>
      <c r="K178" s="307"/>
      <c r="L178" s="307"/>
      <c r="M178" s="307"/>
      <c r="N178" s="307"/>
      <c r="O178" s="307"/>
      <c r="P178" s="307"/>
      <c r="Q178" s="307"/>
      <c r="R178" s="307"/>
      <c r="S178" s="307"/>
      <c r="T178" s="307"/>
      <c r="U178" s="307"/>
      <c r="V178" s="307"/>
      <c r="W178" s="308"/>
      <c r="X178" s="224" t="s">
        <v>22</v>
      </c>
      <c r="Y178" s="225"/>
      <c r="Z178" s="225"/>
      <c r="AA178" s="94" t="s">
        <v>28</v>
      </c>
      <c r="AB178" s="313">
        <v>9.5</v>
      </c>
      <c r="AC178" s="313"/>
      <c r="AD178" s="313"/>
      <c r="AE178" s="313"/>
      <c r="AF178" s="313"/>
      <c r="AG178" s="313"/>
      <c r="AH178" s="313"/>
      <c r="AI178" s="313"/>
      <c r="AJ178" s="313"/>
      <c r="AK178" s="313"/>
      <c r="AL178" s="313"/>
      <c r="AM178" s="313"/>
      <c r="AN178" s="313"/>
      <c r="AO178" s="313"/>
      <c r="AP178" s="313"/>
      <c r="AQ178" s="313"/>
      <c r="AR178" s="313"/>
      <c r="AS178" s="313"/>
      <c r="AT178" s="258"/>
      <c r="AU178" s="258"/>
      <c r="AV178" s="98"/>
      <c r="AW178" s="226"/>
      <c r="AX178" s="226"/>
      <c r="AY178" s="226"/>
      <c r="AZ178" s="227"/>
      <c r="BA178" s="210">
        <f>AB178</f>
        <v>9.5</v>
      </c>
      <c r="BB178" s="211"/>
      <c r="BC178" s="211"/>
      <c r="BD178" s="211"/>
      <c r="BE178" s="211"/>
      <c r="BF178" s="212" t="s">
        <v>163</v>
      </c>
      <c r="BG178" s="212"/>
      <c r="BH178" s="213"/>
      <c r="BI178" s="87"/>
      <c r="BJ178" s="87"/>
      <c r="BK178" s="87"/>
      <c r="BL178" s="87"/>
      <c r="BM178" s="87"/>
      <c r="BN178" s="87"/>
      <c r="BO178" s="87"/>
      <c r="BP178" s="87"/>
      <c r="BQ178" s="87"/>
      <c r="BR178" s="87"/>
      <c r="BS178" s="87"/>
      <c r="BT178" s="87"/>
      <c r="BU178" s="87"/>
      <c r="BV178" s="87"/>
      <c r="BW178" s="87"/>
      <c r="BX178" s="87"/>
      <c r="BY178" s="87"/>
      <c r="BZ178" s="87"/>
      <c r="CA178" s="87"/>
      <c r="CB178" s="87"/>
      <c r="CC178" s="87"/>
      <c r="CD178" s="87"/>
      <c r="CE178" s="87"/>
      <c r="CF178" s="87"/>
      <c r="CG178" s="87"/>
      <c r="CH178" s="87"/>
      <c r="CI178" s="87"/>
      <c r="CJ178" s="87"/>
      <c r="CK178" s="87"/>
      <c r="CL178" s="87"/>
      <c r="CM178" s="87"/>
      <c r="CN178" s="87"/>
      <c r="CO178" s="87"/>
      <c r="CP178" s="87"/>
      <c r="CQ178" s="87"/>
      <c r="CR178" s="87"/>
      <c r="CS178" s="87"/>
      <c r="CT178" s="87"/>
      <c r="CU178" s="87"/>
      <c r="CV178" s="87"/>
      <c r="CW178" s="87"/>
      <c r="CX178" s="87"/>
      <c r="CY178" s="87"/>
      <c r="CZ178" s="87"/>
      <c r="DA178" s="87"/>
      <c r="DB178" s="119"/>
    </row>
    <row r="179" spans="1:106" s="88" customFormat="1" ht="12" customHeight="1">
      <c r="A179" s="309"/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310"/>
      <c r="P179" s="310"/>
      <c r="Q179" s="310"/>
      <c r="R179" s="310"/>
      <c r="S179" s="310"/>
      <c r="T179" s="310"/>
      <c r="U179" s="310"/>
      <c r="V179" s="310"/>
      <c r="W179" s="311"/>
      <c r="X179" s="220" t="s">
        <v>162</v>
      </c>
      <c r="Y179" s="221"/>
      <c r="Z179" s="221"/>
      <c r="AA179" s="97" t="s">
        <v>28</v>
      </c>
      <c r="AB179" s="222" t="str">
        <f ca="1">CONCATENATE(AB178," x ",$AO$17," x ", AP177," x [1 + 0,5 x (",AW177," - 1)] = ")</f>
        <v xml:space="preserve">9,5 x 307,7 x 1,0432 x [1 + 0,5 x (1,0085 - 1)] = </v>
      </c>
      <c r="AC179" s="222"/>
      <c r="AD179" s="222"/>
      <c r="AE179" s="222"/>
      <c r="AF179" s="222"/>
      <c r="AG179" s="222"/>
      <c r="AH179" s="222"/>
      <c r="AI179" s="222"/>
      <c r="AJ179" s="222"/>
      <c r="AK179" s="222"/>
      <c r="AL179" s="222"/>
      <c r="AM179" s="222"/>
      <c r="AN179" s="222"/>
      <c r="AO179" s="222"/>
      <c r="AP179" s="222"/>
      <c r="AQ179" s="222"/>
      <c r="AR179" s="222"/>
      <c r="AS179" s="222"/>
      <c r="AT179" s="222"/>
      <c r="AU179" s="222"/>
      <c r="AV179" s="222"/>
      <c r="AW179" s="222"/>
      <c r="AX179" s="222"/>
      <c r="AY179" s="222"/>
      <c r="AZ179" s="223"/>
      <c r="BA179" s="268">
        <f ca="1">ROUND(AB178*$AO$17*AP177*(1+0.5*(AW177-1)),2)</f>
        <v>3062.39</v>
      </c>
      <c r="BB179" s="269"/>
      <c r="BC179" s="269"/>
      <c r="BD179" s="269"/>
      <c r="BE179" s="269"/>
      <c r="BF179" s="270" t="s">
        <v>23</v>
      </c>
      <c r="BG179" s="270"/>
      <c r="BH179" s="271"/>
      <c r="BI179" s="87"/>
      <c r="BJ179" s="87"/>
      <c r="BK179" s="87"/>
      <c r="BL179" s="87"/>
      <c r="BM179" s="87"/>
      <c r="BN179" s="87"/>
      <c r="BO179" s="87"/>
      <c r="BP179" s="87"/>
      <c r="BQ179" s="87"/>
      <c r="BR179" s="87"/>
      <c r="BS179" s="87"/>
      <c r="BT179" s="87"/>
      <c r="BU179" s="87"/>
      <c r="BV179" s="87"/>
      <c r="BW179" s="87"/>
      <c r="BX179" s="87"/>
      <c r="BY179" s="87"/>
      <c r="BZ179" s="87"/>
      <c r="CA179" s="87"/>
      <c r="CB179" s="87"/>
      <c r="CC179" s="87"/>
      <c r="CD179" s="87"/>
      <c r="CE179" s="87"/>
      <c r="CF179" s="87"/>
      <c r="CG179" s="87"/>
      <c r="CH179" s="87"/>
      <c r="CI179" s="87"/>
      <c r="CJ179" s="87"/>
      <c r="CK179" s="87"/>
      <c r="CL179" s="87"/>
      <c r="CM179" s="87"/>
      <c r="CN179" s="87"/>
      <c r="CO179" s="87"/>
      <c r="CP179" s="87"/>
      <c r="CQ179" s="87"/>
      <c r="CR179" s="87"/>
      <c r="CS179" s="87"/>
      <c r="CT179" s="87"/>
      <c r="CU179" s="87"/>
      <c r="CV179" s="87"/>
      <c r="CW179" s="87"/>
      <c r="CX179" s="87"/>
      <c r="CY179" s="87"/>
      <c r="CZ179" s="87"/>
      <c r="DA179" s="87"/>
      <c r="DB179" s="119"/>
    </row>
    <row r="180" spans="1:106" s="90" customFormat="1" ht="12" customHeight="1">
      <c r="A180" s="239" t="str">
        <f ca="1">график!A29</f>
        <v>6.4</v>
      </c>
      <c r="B180" s="240"/>
      <c r="C180" s="205" t="str">
        <f ca="1">график!B29</f>
        <v>организация выбора генеральной подрядной организации (при генподрядной схеме строительства)</v>
      </c>
      <c r="D180" s="205"/>
      <c r="E180" s="205"/>
      <c r="F180" s="205"/>
      <c r="G180" s="205"/>
      <c r="H180" s="205"/>
      <c r="I180" s="205"/>
      <c r="J180" s="205"/>
      <c r="K180" s="205"/>
      <c r="L180" s="205"/>
      <c r="M180" s="205"/>
      <c r="N180" s="205"/>
      <c r="O180" s="205"/>
      <c r="P180" s="205"/>
      <c r="Q180" s="205"/>
      <c r="R180" s="205"/>
      <c r="S180" s="205"/>
      <c r="T180" s="205"/>
      <c r="U180" s="205"/>
      <c r="V180" s="205"/>
      <c r="W180" s="205"/>
      <c r="X180" s="205"/>
      <c r="Y180" s="205"/>
      <c r="Z180" s="205"/>
      <c r="AA180" s="205"/>
      <c r="AB180" s="205"/>
      <c r="AC180" s="205"/>
      <c r="AD180" s="205"/>
      <c r="AE180" s="205"/>
      <c r="AF180" s="205"/>
      <c r="AG180" s="205"/>
      <c r="AH180" s="205"/>
      <c r="AI180" s="205"/>
      <c r="AJ180" s="205"/>
      <c r="AK180" s="205"/>
      <c r="AL180" s="205"/>
      <c r="AM180" s="205"/>
      <c r="AN180" s="205"/>
      <c r="AO180" s="205"/>
      <c r="AP180" s="205"/>
      <c r="AQ180" s="205"/>
      <c r="AR180" s="205"/>
      <c r="AS180" s="205"/>
      <c r="AT180" s="205"/>
      <c r="AU180" s="205"/>
      <c r="AV180" s="205"/>
      <c r="AW180" s="205"/>
      <c r="AX180" s="205"/>
      <c r="AY180" s="205"/>
      <c r="AZ180" s="205"/>
      <c r="BA180" s="251" t="s">
        <v>245</v>
      </c>
      <c r="BB180" s="251"/>
      <c r="BC180" s="251"/>
      <c r="BD180" s="251"/>
      <c r="BE180" s="251"/>
      <c r="BF180" s="251"/>
      <c r="BG180" s="251"/>
      <c r="BH180" s="252"/>
      <c r="BI180" s="117"/>
      <c r="BJ180" s="117"/>
      <c r="BK180" s="117"/>
      <c r="BL180" s="117"/>
      <c r="BM180" s="117"/>
      <c r="BN180" s="117"/>
      <c r="BO180" s="117"/>
      <c r="BP180" s="117"/>
      <c r="BQ180" s="117"/>
      <c r="BR180" s="117"/>
      <c r="BS180" s="117"/>
      <c r="BT180" s="117"/>
      <c r="BU180" s="117"/>
      <c r="BV180" s="117"/>
      <c r="BW180" s="117"/>
      <c r="BX180" s="117"/>
      <c r="BY180" s="117"/>
      <c r="BZ180" s="117"/>
      <c r="CA180" s="117"/>
      <c r="CB180" s="117"/>
      <c r="CC180" s="117"/>
      <c r="CD180" s="117"/>
      <c r="CE180" s="117"/>
      <c r="CF180" s="117"/>
      <c r="CG180" s="117"/>
      <c r="CH180" s="117"/>
      <c r="CI180" s="117"/>
      <c r="CJ180" s="117"/>
      <c r="CK180" s="117"/>
      <c r="CL180" s="117"/>
      <c r="CM180" s="117"/>
      <c r="CN180" s="117"/>
      <c r="CO180" s="117"/>
      <c r="CP180" s="117"/>
      <c r="CQ180" s="117"/>
      <c r="CR180" s="117"/>
      <c r="CS180" s="117"/>
      <c r="CT180" s="117"/>
      <c r="CU180" s="117"/>
      <c r="CV180" s="117"/>
      <c r="CW180" s="117"/>
      <c r="CX180" s="117"/>
      <c r="CY180" s="117"/>
      <c r="CZ180" s="117"/>
      <c r="DA180" s="117"/>
      <c r="DB180" s="118"/>
    </row>
    <row r="181" spans="1:106" s="88" customFormat="1" ht="12" customHeight="1">
      <c r="A181" s="241" t="s">
        <v>209</v>
      </c>
      <c r="B181" s="242"/>
      <c r="C181" s="242"/>
      <c r="D181" s="242"/>
      <c r="E181" s="242"/>
      <c r="F181" s="242"/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242"/>
      <c r="S181" s="242"/>
      <c r="T181" s="242"/>
      <c r="U181" s="242"/>
      <c r="V181" s="242"/>
      <c r="W181" s="243"/>
      <c r="X181" s="244" t="s">
        <v>45</v>
      </c>
      <c r="Y181" s="245"/>
      <c r="Z181" s="245"/>
      <c r="AA181" s="245"/>
      <c r="AB181" s="253">
        <f ca="1">график!C29</f>
        <v>45474</v>
      </c>
      <c r="AC181" s="246"/>
      <c r="AD181" s="246"/>
      <c r="AE181" s="246"/>
      <c r="AF181" s="246"/>
      <c r="AG181" s="93" t="s">
        <v>1</v>
      </c>
      <c r="AH181" s="254">
        <f ca="1">график!E29</f>
        <v>45505</v>
      </c>
      <c r="AI181" s="247"/>
      <c r="AJ181" s="247"/>
      <c r="AK181" s="247"/>
      <c r="AL181" s="247"/>
      <c r="AM181" s="255" t="s">
        <v>158</v>
      </c>
      <c r="AN181" s="255"/>
      <c r="AO181" s="91" t="s">
        <v>28</v>
      </c>
      <c r="AP181" s="256">
        <f ca="1">график!F29</f>
        <v>1.101</v>
      </c>
      <c r="AQ181" s="256"/>
      <c r="AR181" s="256"/>
      <c r="AS181" s="256"/>
      <c r="AT181" s="255" t="s">
        <v>159</v>
      </c>
      <c r="AU181" s="255"/>
      <c r="AV181" s="91" t="s">
        <v>28</v>
      </c>
      <c r="AW181" s="228">
        <f ca="1">график!G29</f>
        <v>1.0153000000000001</v>
      </c>
      <c r="AX181" s="228"/>
      <c r="AY181" s="228"/>
      <c r="AZ181" s="229"/>
      <c r="BA181" s="230"/>
      <c r="BB181" s="231"/>
      <c r="BC181" s="231"/>
      <c r="BD181" s="231"/>
      <c r="BE181" s="231"/>
      <c r="BF181" s="231"/>
      <c r="BG181" s="231"/>
      <c r="BH181" s="232"/>
      <c r="BI181" s="87"/>
      <c r="BJ181" s="87"/>
      <c r="BK181" s="87"/>
      <c r="BL181" s="87"/>
      <c r="BM181" s="87"/>
      <c r="BN181" s="87"/>
      <c r="BO181" s="87"/>
      <c r="BP181" s="87"/>
      <c r="BQ181" s="87"/>
      <c r="BR181" s="87"/>
      <c r="BS181" s="87"/>
      <c r="BT181" s="87"/>
      <c r="BU181" s="87"/>
      <c r="BV181" s="87"/>
      <c r="BW181" s="87"/>
      <c r="BX181" s="87"/>
      <c r="BY181" s="87"/>
      <c r="BZ181" s="87"/>
      <c r="CA181" s="87"/>
      <c r="CB181" s="87"/>
      <c r="CC181" s="87"/>
      <c r="CD181" s="87"/>
      <c r="CE181" s="87"/>
      <c r="CF181" s="87"/>
      <c r="CG181" s="87"/>
      <c r="CH181" s="87"/>
      <c r="CI181" s="87"/>
      <c r="CJ181" s="87"/>
      <c r="CK181" s="87"/>
      <c r="CL181" s="87"/>
      <c r="CM181" s="87"/>
      <c r="CN181" s="87"/>
      <c r="CO181" s="87"/>
      <c r="CP181" s="87"/>
      <c r="CQ181" s="87"/>
      <c r="CR181" s="87"/>
      <c r="CS181" s="87"/>
      <c r="CT181" s="87"/>
      <c r="CU181" s="87"/>
      <c r="CV181" s="87"/>
      <c r="CW181" s="87"/>
      <c r="CX181" s="87"/>
      <c r="CY181" s="87"/>
      <c r="CZ181" s="87"/>
      <c r="DA181" s="87"/>
      <c r="DB181" s="119"/>
    </row>
    <row r="182" spans="1:106" s="88" customFormat="1" ht="12" customHeight="1">
      <c r="A182" s="306" t="s">
        <v>208</v>
      </c>
      <c r="B182" s="307"/>
      <c r="C182" s="307"/>
      <c r="D182" s="307"/>
      <c r="E182" s="307"/>
      <c r="F182" s="307"/>
      <c r="G182" s="307"/>
      <c r="H182" s="307"/>
      <c r="I182" s="307"/>
      <c r="J182" s="307"/>
      <c r="K182" s="307"/>
      <c r="L182" s="307"/>
      <c r="M182" s="307"/>
      <c r="N182" s="307"/>
      <c r="O182" s="307"/>
      <c r="P182" s="307"/>
      <c r="Q182" s="307"/>
      <c r="R182" s="307"/>
      <c r="S182" s="307"/>
      <c r="T182" s="307"/>
      <c r="U182" s="307"/>
      <c r="V182" s="307"/>
      <c r="W182" s="308"/>
      <c r="X182" s="224" t="s">
        <v>22</v>
      </c>
      <c r="Y182" s="225"/>
      <c r="Z182" s="225"/>
      <c r="AA182" s="94" t="s">
        <v>28</v>
      </c>
      <c r="AB182" s="313">
        <v>9.5</v>
      </c>
      <c r="AC182" s="313"/>
      <c r="AD182" s="313"/>
      <c r="AE182" s="313"/>
      <c r="AF182" s="313"/>
      <c r="AG182" s="313"/>
      <c r="AH182" s="313"/>
      <c r="AI182" s="313"/>
      <c r="AJ182" s="313"/>
      <c r="AK182" s="313"/>
      <c r="AL182" s="313"/>
      <c r="AM182" s="313"/>
      <c r="AN182" s="313"/>
      <c r="AO182" s="313"/>
      <c r="AP182" s="313"/>
      <c r="AQ182" s="313"/>
      <c r="AR182" s="313"/>
      <c r="AS182" s="313"/>
      <c r="AT182" s="258"/>
      <c r="AU182" s="258"/>
      <c r="AV182" s="98"/>
      <c r="AW182" s="226"/>
      <c r="AX182" s="226"/>
      <c r="AY182" s="226"/>
      <c r="AZ182" s="227"/>
      <c r="BA182" s="210">
        <f>AB182</f>
        <v>9.5</v>
      </c>
      <c r="BB182" s="211"/>
      <c r="BC182" s="211"/>
      <c r="BD182" s="211"/>
      <c r="BE182" s="211"/>
      <c r="BF182" s="212" t="s">
        <v>163</v>
      </c>
      <c r="BG182" s="212"/>
      <c r="BH182" s="213"/>
      <c r="BI182" s="87"/>
      <c r="BJ182" s="87"/>
      <c r="BK182" s="87"/>
      <c r="BL182" s="87"/>
      <c r="BM182" s="87"/>
      <c r="BN182" s="87"/>
      <c r="BO182" s="87"/>
      <c r="BP182" s="87"/>
      <c r="BQ182" s="87"/>
      <c r="BR182" s="87"/>
      <c r="BS182" s="87"/>
      <c r="BT182" s="87"/>
      <c r="BU182" s="87"/>
      <c r="BV182" s="87"/>
      <c r="BW182" s="87"/>
      <c r="BX182" s="87"/>
      <c r="BY182" s="87"/>
      <c r="BZ182" s="87"/>
      <c r="CA182" s="87"/>
      <c r="CB182" s="87"/>
      <c r="CC182" s="87"/>
      <c r="CD182" s="87"/>
      <c r="CE182" s="87"/>
      <c r="CF182" s="87"/>
      <c r="CG182" s="87"/>
      <c r="CH182" s="87"/>
      <c r="CI182" s="87"/>
      <c r="CJ182" s="87"/>
      <c r="CK182" s="87"/>
      <c r="CL182" s="87"/>
      <c r="CM182" s="87"/>
      <c r="CN182" s="87"/>
      <c r="CO182" s="87"/>
      <c r="CP182" s="87"/>
      <c r="CQ182" s="87"/>
      <c r="CR182" s="87"/>
      <c r="CS182" s="87"/>
      <c r="CT182" s="87"/>
      <c r="CU182" s="87"/>
      <c r="CV182" s="87"/>
      <c r="CW182" s="87"/>
      <c r="CX182" s="87"/>
      <c r="CY182" s="87"/>
      <c r="CZ182" s="87"/>
      <c r="DA182" s="87"/>
      <c r="DB182" s="119"/>
    </row>
    <row r="183" spans="1:106" s="88" customFormat="1" ht="12" customHeight="1">
      <c r="A183" s="309"/>
      <c r="B183" s="310"/>
      <c r="C183" s="310"/>
      <c r="D183" s="310"/>
      <c r="E183" s="310"/>
      <c r="F183" s="310"/>
      <c r="G183" s="310"/>
      <c r="H183" s="310"/>
      <c r="I183" s="310"/>
      <c r="J183" s="310"/>
      <c r="K183" s="310"/>
      <c r="L183" s="310"/>
      <c r="M183" s="310"/>
      <c r="N183" s="310"/>
      <c r="O183" s="310"/>
      <c r="P183" s="310"/>
      <c r="Q183" s="310"/>
      <c r="R183" s="310"/>
      <c r="S183" s="310"/>
      <c r="T183" s="310"/>
      <c r="U183" s="310"/>
      <c r="V183" s="310"/>
      <c r="W183" s="311"/>
      <c r="X183" s="220" t="s">
        <v>162</v>
      </c>
      <c r="Y183" s="221"/>
      <c r="Z183" s="221"/>
      <c r="AA183" s="97" t="s">
        <v>28</v>
      </c>
      <c r="AB183" s="222" t="str">
        <f ca="1">CONCATENATE(AB182," x ",$AO$17," x ", AP181," x [1 + 0,5 x (",AW181," - 1)] = ")</f>
        <v xml:space="preserve">9,5 x 307,7 x 1,101 x [1 + 0,5 x (1,0153 - 1)] = </v>
      </c>
      <c r="AC183" s="222"/>
      <c r="AD183" s="222"/>
      <c r="AE183" s="222"/>
      <c r="AF183" s="222"/>
      <c r="AG183" s="222"/>
      <c r="AH183" s="222"/>
      <c r="AI183" s="222"/>
      <c r="AJ183" s="222"/>
      <c r="AK183" s="222"/>
      <c r="AL183" s="222"/>
      <c r="AM183" s="222"/>
      <c r="AN183" s="222"/>
      <c r="AO183" s="222"/>
      <c r="AP183" s="222"/>
      <c r="AQ183" s="222"/>
      <c r="AR183" s="222"/>
      <c r="AS183" s="222"/>
      <c r="AT183" s="222"/>
      <c r="AU183" s="222"/>
      <c r="AV183" s="222"/>
      <c r="AW183" s="222"/>
      <c r="AX183" s="222"/>
      <c r="AY183" s="222"/>
      <c r="AZ183" s="223"/>
      <c r="BA183" s="268">
        <f ca="1">ROUND(AB182*$AO$17*AP181*(1+0.5*(AW181-1)),2)</f>
        <v>3243.01</v>
      </c>
      <c r="BB183" s="269"/>
      <c r="BC183" s="269"/>
      <c r="BD183" s="269"/>
      <c r="BE183" s="269"/>
      <c r="BF183" s="270" t="s">
        <v>23</v>
      </c>
      <c r="BG183" s="270"/>
      <c r="BH183" s="271"/>
      <c r="BI183" s="87"/>
      <c r="BJ183" s="87"/>
      <c r="BK183" s="87"/>
      <c r="BL183" s="87"/>
      <c r="BM183" s="87"/>
      <c r="BN183" s="87"/>
      <c r="BO183" s="87"/>
      <c r="BP183" s="87"/>
      <c r="BQ183" s="87"/>
      <c r="BR183" s="87"/>
      <c r="BS183" s="87"/>
      <c r="BT183" s="87"/>
      <c r="BU183" s="87"/>
      <c r="BV183" s="87"/>
      <c r="BW183" s="87"/>
      <c r="BX183" s="87"/>
      <c r="BY183" s="87"/>
      <c r="BZ183" s="87"/>
      <c r="CA183" s="87"/>
      <c r="CB183" s="87"/>
      <c r="CC183" s="87"/>
      <c r="CD183" s="87"/>
      <c r="CE183" s="87"/>
      <c r="CF183" s="87"/>
      <c r="CG183" s="87"/>
      <c r="CH183" s="87"/>
      <c r="CI183" s="87"/>
      <c r="CJ183" s="87"/>
      <c r="CK183" s="87"/>
      <c r="CL183" s="87"/>
      <c r="CM183" s="87"/>
      <c r="CN183" s="87"/>
      <c r="CO183" s="87"/>
      <c r="CP183" s="87"/>
      <c r="CQ183" s="87"/>
      <c r="CR183" s="87"/>
      <c r="CS183" s="87"/>
      <c r="CT183" s="87"/>
      <c r="CU183" s="87"/>
      <c r="CV183" s="87"/>
      <c r="CW183" s="87"/>
      <c r="CX183" s="87"/>
      <c r="CY183" s="87"/>
      <c r="CZ183" s="87"/>
      <c r="DA183" s="87"/>
      <c r="DB183" s="119"/>
    </row>
    <row r="184" spans="1:106" s="90" customFormat="1" ht="22.5" customHeight="1">
      <c r="A184" s="418" t="str">
        <f ca="1">график!A30</f>
        <v>6.5</v>
      </c>
      <c r="B184" s="419"/>
      <c r="C184" s="205" t="str">
        <f ca="1">график!B30</f>
        <v>организация выбора подрядных организаций на выполнение отдельных видов работ, услуг (при подрядной схеме строительства)</v>
      </c>
      <c r="D184" s="205"/>
      <c r="E184" s="205"/>
      <c r="F184" s="205"/>
      <c r="G184" s="205"/>
      <c r="H184" s="205"/>
      <c r="I184" s="205"/>
      <c r="J184" s="205"/>
      <c r="K184" s="205"/>
      <c r="L184" s="205"/>
      <c r="M184" s="205"/>
      <c r="N184" s="205"/>
      <c r="O184" s="205"/>
      <c r="P184" s="205"/>
      <c r="Q184" s="205"/>
      <c r="R184" s="205"/>
      <c r="S184" s="205"/>
      <c r="T184" s="205"/>
      <c r="U184" s="205"/>
      <c r="V184" s="205"/>
      <c r="W184" s="205"/>
      <c r="X184" s="205"/>
      <c r="Y184" s="205"/>
      <c r="Z184" s="205"/>
      <c r="AA184" s="205"/>
      <c r="AB184" s="205"/>
      <c r="AC184" s="205"/>
      <c r="AD184" s="205"/>
      <c r="AE184" s="205"/>
      <c r="AF184" s="205"/>
      <c r="AG184" s="205"/>
      <c r="AH184" s="205"/>
      <c r="AI184" s="205"/>
      <c r="AJ184" s="205"/>
      <c r="AK184" s="205"/>
      <c r="AL184" s="205"/>
      <c r="AM184" s="205"/>
      <c r="AN184" s="205"/>
      <c r="AO184" s="205"/>
      <c r="AP184" s="205"/>
      <c r="AQ184" s="205"/>
      <c r="AR184" s="205"/>
      <c r="AS184" s="205"/>
      <c r="AT184" s="205"/>
      <c r="AU184" s="205"/>
      <c r="AV184" s="205"/>
      <c r="AW184" s="205"/>
      <c r="AX184" s="205"/>
      <c r="AY184" s="205"/>
      <c r="AZ184" s="205"/>
      <c r="BA184" s="392" t="s">
        <v>264</v>
      </c>
      <c r="BB184" s="392"/>
      <c r="BC184" s="392"/>
      <c r="BD184" s="392"/>
      <c r="BE184" s="392"/>
      <c r="BF184" s="392"/>
      <c r="BG184" s="392"/>
      <c r="BH184" s="393"/>
      <c r="BI184" s="117"/>
      <c r="BJ184" s="117"/>
      <c r="BK184" s="117"/>
      <c r="BL184" s="117"/>
      <c r="BM184" s="117"/>
      <c r="BN184" s="117"/>
      <c r="BO184" s="117"/>
      <c r="BP184" s="117"/>
      <c r="BQ184" s="117"/>
      <c r="BR184" s="117"/>
      <c r="BS184" s="117"/>
      <c r="BT184" s="117"/>
      <c r="BU184" s="117"/>
      <c r="BV184" s="117"/>
      <c r="BW184" s="117"/>
      <c r="BX184" s="117"/>
      <c r="BY184" s="117"/>
      <c r="BZ184" s="117"/>
      <c r="CA184" s="117"/>
      <c r="CB184" s="117"/>
      <c r="CC184" s="117"/>
      <c r="CD184" s="117"/>
      <c r="CE184" s="117"/>
      <c r="CF184" s="117"/>
      <c r="CG184" s="117"/>
      <c r="CH184" s="117"/>
      <c r="CI184" s="117"/>
      <c r="CJ184" s="117"/>
      <c r="CK184" s="117"/>
      <c r="CL184" s="117"/>
      <c r="CM184" s="117"/>
      <c r="CN184" s="117"/>
      <c r="CO184" s="117"/>
      <c r="CP184" s="117"/>
      <c r="CQ184" s="117"/>
      <c r="CR184" s="117"/>
      <c r="CS184" s="117"/>
      <c r="CT184" s="117"/>
      <c r="CU184" s="117"/>
      <c r="CV184" s="117"/>
      <c r="CW184" s="117"/>
      <c r="CX184" s="117"/>
      <c r="CY184" s="117"/>
      <c r="CZ184" s="117"/>
      <c r="DA184" s="117"/>
      <c r="DB184" s="118"/>
    </row>
    <row r="185" spans="1:106" s="88" customFormat="1" ht="12" customHeight="1">
      <c r="A185" s="241" t="s">
        <v>215</v>
      </c>
      <c r="B185" s="242"/>
      <c r="C185" s="242"/>
      <c r="D185" s="242"/>
      <c r="E185" s="242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42"/>
      <c r="S185" s="242"/>
      <c r="T185" s="242"/>
      <c r="U185" s="242"/>
      <c r="V185" s="242"/>
      <c r="W185" s="243"/>
      <c r="X185" s="244" t="s">
        <v>45</v>
      </c>
      <c r="Y185" s="245"/>
      <c r="Z185" s="245"/>
      <c r="AA185" s="245"/>
      <c r="AB185" s="253"/>
      <c r="AC185" s="246"/>
      <c r="AD185" s="246"/>
      <c r="AE185" s="246"/>
      <c r="AF185" s="246"/>
      <c r="AG185" s="93" t="s">
        <v>1</v>
      </c>
      <c r="AH185" s="254"/>
      <c r="AI185" s="247"/>
      <c r="AJ185" s="247"/>
      <c r="AK185" s="247"/>
      <c r="AL185" s="247"/>
      <c r="AM185" s="255" t="s">
        <v>158</v>
      </c>
      <c r="AN185" s="255"/>
      <c r="AO185" s="91" t="s">
        <v>28</v>
      </c>
      <c r="AP185" s="256"/>
      <c r="AQ185" s="256"/>
      <c r="AR185" s="256"/>
      <c r="AS185" s="256"/>
      <c r="AT185" s="255" t="s">
        <v>159</v>
      </c>
      <c r="AU185" s="255"/>
      <c r="AV185" s="91" t="s">
        <v>28</v>
      </c>
      <c r="AW185" s="228"/>
      <c r="AX185" s="228"/>
      <c r="AY185" s="228"/>
      <c r="AZ185" s="229"/>
      <c r="BA185" s="230"/>
      <c r="BB185" s="231"/>
      <c r="BC185" s="231"/>
      <c r="BD185" s="231"/>
      <c r="BE185" s="231"/>
      <c r="BF185" s="231"/>
      <c r="BG185" s="231"/>
      <c r="BH185" s="232"/>
      <c r="BI185" s="87"/>
      <c r="BJ185" s="87"/>
      <c r="BK185" s="87"/>
      <c r="BL185" s="87"/>
      <c r="BM185" s="87"/>
      <c r="BN185" s="87"/>
      <c r="BO185" s="87"/>
      <c r="BP185" s="87"/>
      <c r="BQ185" s="87"/>
      <c r="BR185" s="87"/>
      <c r="BS185" s="87"/>
      <c r="BT185" s="87"/>
      <c r="BU185" s="87"/>
      <c r="BV185" s="87"/>
      <c r="BW185" s="87"/>
      <c r="BX185" s="87"/>
      <c r="BY185" s="87"/>
      <c r="BZ185" s="87"/>
      <c r="CA185" s="87"/>
      <c r="CB185" s="87"/>
      <c r="CC185" s="87"/>
      <c r="CD185" s="87"/>
      <c r="CE185" s="87"/>
      <c r="CF185" s="87"/>
      <c r="CG185" s="87"/>
      <c r="CH185" s="87"/>
      <c r="CI185" s="87"/>
      <c r="CJ185" s="87"/>
      <c r="CK185" s="87"/>
      <c r="CL185" s="87"/>
      <c r="CM185" s="87"/>
      <c r="CN185" s="87"/>
      <c r="CO185" s="87"/>
      <c r="CP185" s="87"/>
      <c r="CQ185" s="87"/>
      <c r="CR185" s="87"/>
      <c r="CS185" s="87"/>
      <c r="CT185" s="87"/>
      <c r="CU185" s="87"/>
      <c r="CV185" s="87"/>
      <c r="CW185" s="87"/>
      <c r="CX185" s="87"/>
      <c r="CY185" s="87"/>
      <c r="CZ185" s="87"/>
      <c r="DA185" s="87"/>
      <c r="DB185" s="119"/>
    </row>
    <row r="186" spans="1:106" s="88" customFormat="1" ht="12" customHeight="1">
      <c r="A186" s="306" t="s">
        <v>208</v>
      </c>
      <c r="B186" s="307"/>
      <c r="C186" s="307"/>
      <c r="D186" s="307"/>
      <c r="E186" s="307"/>
      <c r="F186" s="307"/>
      <c r="G186" s="307"/>
      <c r="H186" s="307"/>
      <c r="I186" s="307"/>
      <c r="J186" s="307"/>
      <c r="K186" s="307"/>
      <c r="L186" s="307"/>
      <c r="M186" s="307"/>
      <c r="N186" s="307"/>
      <c r="O186" s="307"/>
      <c r="P186" s="307"/>
      <c r="Q186" s="307"/>
      <c r="R186" s="307"/>
      <c r="S186" s="307"/>
      <c r="T186" s="307"/>
      <c r="U186" s="307"/>
      <c r="V186" s="307"/>
      <c r="W186" s="308"/>
      <c r="X186" s="224" t="s">
        <v>22</v>
      </c>
      <c r="Y186" s="225"/>
      <c r="Z186" s="225"/>
      <c r="AA186" s="94" t="s">
        <v>28</v>
      </c>
      <c r="AB186" s="313"/>
      <c r="AC186" s="313"/>
      <c r="AD186" s="313"/>
      <c r="AE186" s="313"/>
      <c r="AF186" s="313"/>
      <c r="AG186" s="313"/>
      <c r="AH186" s="313"/>
      <c r="AI186" s="313"/>
      <c r="AJ186" s="313"/>
      <c r="AK186" s="313"/>
      <c r="AL186" s="313"/>
      <c r="AM186" s="313"/>
      <c r="AN186" s="313"/>
      <c r="AO186" s="313"/>
      <c r="AP186" s="313"/>
      <c r="AQ186" s="313"/>
      <c r="AR186" s="313"/>
      <c r="AS186" s="313"/>
      <c r="AT186" s="258"/>
      <c r="AU186" s="258"/>
      <c r="AV186" s="98"/>
      <c r="AW186" s="226"/>
      <c r="AX186" s="226"/>
      <c r="AY186" s="226"/>
      <c r="AZ186" s="227"/>
      <c r="BA186" s="210">
        <f>AB186</f>
        <v>0</v>
      </c>
      <c r="BB186" s="211"/>
      <c r="BC186" s="211"/>
      <c r="BD186" s="211"/>
      <c r="BE186" s="211"/>
      <c r="BF186" s="212" t="s">
        <v>163</v>
      </c>
      <c r="BG186" s="212"/>
      <c r="BH186" s="213"/>
      <c r="BI186" s="87"/>
      <c r="BJ186" s="87"/>
      <c r="BK186" s="87"/>
      <c r="BL186" s="87"/>
      <c r="BM186" s="87"/>
      <c r="BN186" s="87"/>
      <c r="BO186" s="87"/>
      <c r="BP186" s="87"/>
      <c r="BQ186" s="87"/>
      <c r="BR186" s="87"/>
      <c r="BS186" s="87"/>
      <c r="BT186" s="87"/>
      <c r="BU186" s="87"/>
      <c r="BV186" s="87"/>
      <c r="BW186" s="87"/>
      <c r="BX186" s="87"/>
      <c r="BY186" s="87"/>
      <c r="BZ186" s="87"/>
      <c r="CA186" s="87"/>
      <c r="CB186" s="87"/>
      <c r="CC186" s="87"/>
      <c r="CD186" s="87"/>
      <c r="CE186" s="87"/>
      <c r="CF186" s="87"/>
      <c r="CG186" s="87"/>
      <c r="CH186" s="87"/>
      <c r="CI186" s="87"/>
      <c r="CJ186" s="87"/>
      <c r="CK186" s="87"/>
      <c r="CL186" s="87"/>
      <c r="CM186" s="87"/>
      <c r="CN186" s="87"/>
      <c r="CO186" s="87"/>
      <c r="CP186" s="87"/>
      <c r="CQ186" s="87"/>
      <c r="CR186" s="87"/>
      <c r="CS186" s="87"/>
      <c r="CT186" s="87"/>
      <c r="CU186" s="87"/>
      <c r="CV186" s="87"/>
      <c r="CW186" s="87"/>
      <c r="CX186" s="87"/>
      <c r="CY186" s="87"/>
      <c r="CZ186" s="87"/>
      <c r="DA186" s="87"/>
      <c r="DB186" s="119"/>
    </row>
    <row r="187" spans="1:106" s="88" customFormat="1" ht="12" customHeight="1">
      <c r="A187" s="309"/>
      <c r="B187" s="310"/>
      <c r="C187" s="310"/>
      <c r="D187" s="310"/>
      <c r="E187" s="310"/>
      <c r="F187" s="310"/>
      <c r="G187" s="310"/>
      <c r="H187" s="310"/>
      <c r="I187" s="310"/>
      <c r="J187" s="310"/>
      <c r="K187" s="310"/>
      <c r="L187" s="310"/>
      <c r="M187" s="310"/>
      <c r="N187" s="310"/>
      <c r="O187" s="310"/>
      <c r="P187" s="310"/>
      <c r="Q187" s="310"/>
      <c r="R187" s="310"/>
      <c r="S187" s="310"/>
      <c r="T187" s="310"/>
      <c r="U187" s="310"/>
      <c r="V187" s="310"/>
      <c r="W187" s="311"/>
      <c r="X187" s="220" t="s">
        <v>162</v>
      </c>
      <c r="Y187" s="221"/>
      <c r="Z187" s="221"/>
      <c r="AA187" s="97" t="s">
        <v>28</v>
      </c>
      <c r="AB187" s="222"/>
      <c r="AC187" s="222"/>
      <c r="AD187" s="222"/>
      <c r="AE187" s="222"/>
      <c r="AF187" s="222"/>
      <c r="AG187" s="222"/>
      <c r="AH187" s="222"/>
      <c r="AI187" s="222"/>
      <c r="AJ187" s="222"/>
      <c r="AK187" s="222"/>
      <c r="AL187" s="222"/>
      <c r="AM187" s="222"/>
      <c r="AN187" s="222"/>
      <c r="AO187" s="222"/>
      <c r="AP187" s="222"/>
      <c r="AQ187" s="222"/>
      <c r="AR187" s="222"/>
      <c r="AS187" s="222"/>
      <c r="AT187" s="222"/>
      <c r="AU187" s="222"/>
      <c r="AV187" s="222"/>
      <c r="AW187" s="222"/>
      <c r="AX187" s="222"/>
      <c r="AY187" s="222"/>
      <c r="AZ187" s="223"/>
      <c r="BA187" s="268">
        <f>ROUND(AB186*$AO$17*AP185*(1+0.5*(AW185-1)),2)</f>
        <v>0</v>
      </c>
      <c r="BB187" s="269"/>
      <c r="BC187" s="269"/>
      <c r="BD187" s="269"/>
      <c r="BE187" s="269"/>
      <c r="BF187" s="270" t="s">
        <v>23</v>
      </c>
      <c r="BG187" s="270"/>
      <c r="BH187" s="271"/>
      <c r="BI187" s="87"/>
      <c r="BJ187" s="87"/>
      <c r="BK187" s="87"/>
      <c r="BL187" s="87"/>
      <c r="BM187" s="87"/>
      <c r="BN187" s="87"/>
      <c r="BO187" s="87"/>
      <c r="BP187" s="87"/>
      <c r="BQ187" s="87"/>
      <c r="BR187" s="87"/>
      <c r="BS187" s="87"/>
      <c r="BT187" s="87"/>
      <c r="BU187" s="87"/>
      <c r="BV187" s="87"/>
      <c r="BW187" s="87"/>
      <c r="BX187" s="87"/>
      <c r="BY187" s="87"/>
      <c r="BZ187" s="87"/>
      <c r="CA187" s="87"/>
      <c r="CB187" s="87"/>
      <c r="CC187" s="87"/>
      <c r="CD187" s="87"/>
      <c r="CE187" s="87"/>
      <c r="CF187" s="87"/>
      <c r="CG187" s="87"/>
      <c r="CH187" s="87"/>
      <c r="CI187" s="87"/>
      <c r="CJ187" s="87"/>
      <c r="CK187" s="87"/>
      <c r="CL187" s="87"/>
      <c r="CM187" s="87"/>
      <c r="CN187" s="87"/>
      <c r="CO187" s="87"/>
      <c r="CP187" s="87"/>
      <c r="CQ187" s="87"/>
      <c r="CR187" s="87"/>
      <c r="CS187" s="87"/>
      <c r="CT187" s="87"/>
      <c r="CU187" s="87"/>
      <c r="CV187" s="87"/>
      <c r="CW187" s="87"/>
      <c r="CX187" s="87"/>
      <c r="CY187" s="87"/>
      <c r="CZ187" s="87"/>
      <c r="DA187" s="87"/>
      <c r="DB187" s="119"/>
    </row>
    <row r="188" spans="1:106" s="90" customFormat="1" ht="12" customHeight="1">
      <c r="A188" s="239" t="str">
        <f ca="1">график!A31</f>
        <v>6.6</v>
      </c>
      <c r="B188" s="240"/>
      <c r="C188" s="205" t="str">
        <f ca="1">график!B31</f>
        <v xml:space="preserve">организация выбора поставщиков строительных материалов, изделий, конструкций, мебели и оборудования в части обязательств заказчика </v>
      </c>
      <c r="D188" s="205"/>
      <c r="E188" s="205"/>
      <c r="F188" s="205"/>
      <c r="G188" s="205"/>
      <c r="H188" s="205"/>
      <c r="I188" s="205"/>
      <c r="J188" s="205"/>
      <c r="K188" s="205"/>
      <c r="L188" s="205"/>
      <c r="M188" s="205"/>
      <c r="N188" s="205"/>
      <c r="O188" s="205"/>
      <c r="P188" s="205"/>
      <c r="Q188" s="205"/>
      <c r="R188" s="205"/>
      <c r="S188" s="205"/>
      <c r="T188" s="205"/>
      <c r="U188" s="205"/>
      <c r="V188" s="205"/>
      <c r="W188" s="205"/>
      <c r="X188" s="205"/>
      <c r="Y188" s="205"/>
      <c r="Z188" s="205"/>
      <c r="AA188" s="205"/>
      <c r="AB188" s="205"/>
      <c r="AC188" s="205"/>
      <c r="AD188" s="205"/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  <c r="AO188" s="205"/>
      <c r="AP188" s="205"/>
      <c r="AQ188" s="205"/>
      <c r="AR188" s="205"/>
      <c r="AS188" s="205"/>
      <c r="AT188" s="205"/>
      <c r="AU188" s="205"/>
      <c r="AV188" s="205"/>
      <c r="AW188" s="205"/>
      <c r="AX188" s="205"/>
      <c r="AY188" s="205"/>
      <c r="AZ188" s="205"/>
      <c r="BA188" s="392" t="s">
        <v>265</v>
      </c>
      <c r="BB188" s="392"/>
      <c r="BC188" s="392"/>
      <c r="BD188" s="392"/>
      <c r="BE188" s="392"/>
      <c r="BF188" s="392"/>
      <c r="BG188" s="392"/>
      <c r="BH188" s="393"/>
      <c r="BI188" s="117"/>
      <c r="BJ188" s="117"/>
      <c r="BK188" s="117"/>
      <c r="BL188" s="117"/>
      <c r="BM188" s="117"/>
      <c r="BN188" s="117"/>
      <c r="BO188" s="117"/>
      <c r="BP188" s="117"/>
      <c r="BQ188" s="117"/>
      <c r="BR188" s="117"/>
      <c r="BS188" s="117"/>
      <c r="BT188" s="117"/>
      <c r="BU188" s="117"/>
      <c r="BV188" s="117"/>
      <c r="BW188" s="117"/>
      <c r="BX188" s="117"/>
      <c r="BY188" s="117"/>
      <c r="BZ188" s="117"/>
      <c r="CA188" s="117"/>
      <c r="CB188" s="117"/>
      <c r="CC188" s="117"/>
      <c r="CD188" s="117"/>
      <c r="CE188" s="117"/>
      <c r="CF188" s="117"/>
      <c r="CG188" s="117"/>
      <c r="CH188" s="117"/>
      <c r="CI188" s="117"/>
      <c r="CJ188" s="117"/>
      <c r="CK188" s="117"/>
      <c r="CL188" s="117"/>
      <c r="CM188" s="117"/>
      <c r="CN188" s="117"/>
      <c r="CO188" s="117"/>
      <c r="CP188" s="117"/>
      <c r="CQ188" s="117"/>
      <c r="CR188" s="117"/>
      <c r="CS188" s="117"/>
      <c r="CT188" s="117"/>
      <c r="CU188" s="117"/>
      <c r="CV188" s="117"/>
      <c r="CW188" s="117"/>
      <c r="CX188" s="117"/>
      <c r="CY188" s="117"/>
      <c r="CZ188" s="117"/>
      <c r="DA188" s="117"/>
      <c r="DB188" s="118"/>
    </row>
    <row r="189" spans="1:106" s="88" customFormat="1" ht="12" customHeight="1">
      <c r="A189" s="241" t="s">
        <v>216</v>
      </c>
      <c r="B189" s="242"/>
      <c r="C189" s="242"/>
      <c r="D189" s="242"/>
      <c r="E189" s="242"/>
      <c r="F189" s="242"/>
      <c r="G189" s="242"/>
      <c r="H189" s="242"/>
      <c r="I189" s="242"/>
      <c r="J189" s="242"/>
      <c r="K189" s="242"/>
      <c r="L189" s="242"/>
      <c r="M189" s="242"/>
      <c r="N189" s="242"/>
      <c r="O189" s="242"/>
      <c r="P189" s="242"/>
      <c r="Q189" s="242"/>
      <c r="R189" s="242"/>
      <c r="S189" s="242"/>
      <c r="T189" s="242"/>
      <c r="U189" s="242"/>
      <c r="V189" s="242"/>
      <c r="W189" s="243"/>
      <c r="X189" s="244" t="s">
        <v>45</v>
      </c>
      <c r="Y189" s="245"/>
      <c r="Z189" s="245"/>
      <c r="AA189" s="245"/>
      <c r="AB189" s="253">
        <f ca="1">график!C31</f>
        <v>45566</v>
      </c>
      <c r="AC189" s="246"/>
      <c r="AD189" s="246"/>
      <c r="AE189" s="246"/>
      <c r="AF189" s="246"/>
      <c r="AG189" s="93" t="s">
        <v>1</v>
      </c>
      <c r="AH189" s="254">
        <f ca="1">график!E31</f>
        <v>45627</v>
      </c>
      <c r="AI189" s="247"/>
      <c r="AJ189" s="247"/>
      <c r="AK189" s="247"/>
      <c r="AL189" s="247"/>
      <c r="AM189" s="255" t="s">
        <v>158</v>
      </c>
      <c r="AN189" s="255"/>
      <c r="AO189" s="91" t="s">
        <v>28</v>
      </c>
      <c r="AP189" s="256">
        <f ca="1">график!F31</f>
        <v>1.1263000000000001</v>
      </c>
      <c r="AQ189" s="256"/>
      <c r="AR189" s="256"/>
      <c r="AS189" s="256"/>
      <c r="AT189" s="255" t="s">
        <v>159</v>
      </c>
      <c r="AU189" s="255"/>
      <c r="AV189" s="91" t="s">
        <v>28</v>
      </c>
      <c r="AW189" s="228">
        <f ca="1">график!G31</f>
        <v>1.0229999999999999</v>
      </c>
      <c r="AX189" s="228"/>
      <c r="AY189" s="228"/>
      <c r="AZ189" s="229"/>
      <c r="BA189" s="230"/>
      <c r="BB189" s="231"/>
      <c r="BC189" s="231"/>
      <c r="BD189" s="231"/>
      <c r="BE189" s="231"/>
      <c r="BF189" s="231"/>
      <c r="BG189" s="231"/>
      <c r="BH189" s="232"/>
      <c r="BI189" s="87"/>
      <c r="BJ189" s="87"/>
      <c r="BK189" s="87"/>
      <c r="BL189" s="87"/>
      <c r="BM189" s="87"/>
      <c r="BN189" s="87"/>
      <c r="BO189" s="87"/>
      <c r="BP189" s="87"/>
      <c r="BQ189" s="87"/>
      <c r="BR189" s="87"/>
      <c r="BS189" s="87"/>
      <c r="BT189" s="87"/>
      <c r="BU189" s="87"/>
      <c r="BV189" s="87"/>
      <c r="BW189" s="87"/>
      <c r="BX189" s="87"/>
      <c r="BY189" s="87"/>
      <c r="BZ189" s="87"/>
      <c r="CA189" s="87"/>
      <c r="CB189" s="87"/>
      <c r="CC189" s="87"/>
      <c r="CD189" s="87"/>
      <c r="CE189" s="87"/>
      <c r="CF189" s="87"/>
      <c r="CG189" s="87"/>
      <c r="CH189" s="87"/>
      <c r="CI189" s="87"/>
      <c r="CJ189" s="87"/>
      <c r="CK189" s="87"/>
      <c r="CL189" s="87"/>
      <c r="CM189" s="87"/>
      <c r="CN189" s="87"/>
      <c r="CO189" s="87"/>
      <c r="CP189" s="87"/>
      <c r="CQ189" s="87"/>
      <c r="CR189" s="87"/>
      <c r="CS189" s="87"/>
      <c r="CT189" s="87"/>
      <c r="CU189" s="87"/>
      <c r="CV189" s="87"/>
      <c r="CW189" s="87"/>
      <c r="CX189" s="87"/>
      <c r="CY189" s="87"/>
      <c r="CZ189" s="87"/>
      <c r="DA189" s="87"/>
      <c r="DB189" s="119"/>
    </row>
    <row r="190" spans="1:106" s="88" customFormat="1" ht="12" customHeight="1">
      <c r="A190" s="306" t="s">
        <v>217</v>
      </c>
      <c r="B190" s="307"/>
      <c r="C190" s="307"/>
      <c r="D190" s="307"/>
      <c r="E190" s="307"/>
      <c r="F190" s="307"/>
      <c r="G190" s="307"/>
      <c r="H190" s="307"/>
      <c r="I190" s="307"/>
      <c r="J190" s="307"/>
      <c r="K190" s="307"/>
      <c r="L190" s="307"/>
      <c r="M190" s="307"/>
      <c r="N190" s="307"/>
      <c r="O190" s="307"/>
      <c r="P190" s="307"/>
      <c r="Q190" s="307"/>
      <c r="R190" s="307"/>
      <c r="S190" s="307"/>
      <c r="T190" s="307"/>
      <c r="U190" s="307"/>
      <c r="V190" s="307"/>
      <c r="W190" s="308"/>
      <c r="X190" s="414" t="s">
        <v>214</v>
      </c>
      <c r="Y190" s="415"/>
      <c r="Z190" s="415"/>
      <c r="AA190" s="415"/>
      <c r="AB190" s="415"/>
      <c r="AC190" s="415"/>
      <c r="AD190" s="415"/>
      <c r="AE190" s="415"/>
      <c r="AF190" s="415"/>
      <c r="AG190" s="415"/>
      <c r="AH190" s="415"/>
      <c r="AI190" s="415"/>
      <c r="AJ190" s="415"/>
      <c r="AK190" s="415"/>
      <c r="AL190" s="415"/>
      <c r="AM190" s="415"/>
      <c r="AN190" s="415"/>
      <c r="AO190" s="98" t="s">
        <v>28</v>
      </c>
      <c r="AP190" s="226">
        <v>4</v>
      </c>
      <c r="AQ190" s="226"/>
      <c r="AR190" s="226"/>
      <c r="AS190" s="226"/>
      <c r="AT190" s="258"/>
      <c r="AU190" s="258"/>
      <c r="AV190" s="98"/>
      <c r="AW190" s="226"/>
      <c r="AX190" s="226"/>
      <c r="AY190" s="226"/>
      <c r="AZ190" s="227"/>
      <c r="BA190" s="424"/>
      <c r="BB190" s="425"/>
      <c r="BC190" s="425"/>
      <c r="BD190" s="425"/>
      <c r="BE190" s="425"/>
      <c r="BF190" s="425"/>
      <c r="BG190" s="425"/>
      <c r="BH190" s="426"/>
      <c r="BI190" s="87"/>
      <c r="BJ190" s="87"/>
      <c r="BK190" s="87"/>
      <c r="BL190" s="87"/>
      <c r="BM190" s="87"/>
      <c r="BN190" s="87"/>
      <c r="BO190" s="87"/>
      <c r="BP190" s="87"/>
      <c r="BQ190" s="87"/>
      <c r="BR190" s="87"/>
      <c r="BS190" s="87"/>
      <c r="BT190" s="87"/>
      <c r="BU190" s="87"/>
      <c r="BV190" s="87"/>
      <c r="BW190" s="87"/>
      <c r="BX190" s="87"/>
      <c r="BY190" s="87"/>
      <c r="BZ190" s="87"/>
      <c r="CA190" s="87"/>
      <c r="CB190" s="87"/>
      <c r="CC190" s="87"/>
      <c r="CD190" s="87"/>
      <c r="CE190" s="87"/>
      <c r="CF190" s="87"/>
      <c r="CG190" s="87"/>
      <c r="CH190" s="87"/>
      <c r="CI190" s="87"/>
      <c r="CJ190" s="87"/>
      <c r="CK190" s="87"/>
      <c r="CL190" s="87"/>
      <c r="CM190" s="87"/>
      <c r="CN190" s="87"/>
      <c r="CO190" s="87"/>
      <c r="CP190" s="87"/>
      <c r="CQ190" s="87"/>
      <c r="CR190" s="87"/>
      <c r="CS190" s="87"/>
      <c r="CT190" s="87"/>
      <c r="CU190" s="87"/>
      <c r="CV190" s="87"/>
      <c r="CW190" s="87"/>
      <c r="CX190" s="87"/>
      <c r="CY190" s="87"/>
      <c r="CZ190" s="87"/>
      <c r="DA190" s="87"/>
      <c r="DB190" s="119"/>
    </row>
    <row r="191" spans="1:106" s="88" customFormat="1" ht="12" customHeight="1">
      <c r="A191" s="306"/>
      <c r="B191" s="307"/>
      <c r="C191" s="307"/>
      <c r="D191" s="307"/>
      <c r="E191" s="307"/>
      <c r="F191" s="307"/>
      <c r="G191" s="307"/>
      <c r="H191" s="307"/>
      <c r="I191" s="307"/>
      <c r="J191" s="307"/>
      <c r="K191" s="307"/>
      <c r="L191" s="307"/>
      <c r="M191" s="307"/>
      <c r="N191" s="307"/>
      <c r="O191" s="307"/>
      <c r="P191" s="307"/>
      <c r="Q191" s="307"/>
      <c r="R191" s="307"/>
      <c r="S191" s="307"/>
      <c r="T191" s="307"/>
      <c r="U191" s="307"/>
      <c r="V191" s="307"/>
      <c r="W191" s="308"/>
      <c r="X191" s="224" t="s">
        <v>22</v>
      </c>
      <c r="Y191" s="225"/>
      <c r="Z191" s="225"/>
      <c r="AA191" s="94" t="s">
        <v>28</v>
      </c>
      <c r="AB191" s="313">
        <v>2.5</v>
      </c>
      <c r="AC191" s="313"/>
      <c r="AD191" s="313"/>
      <c r="AE191" s="313"/>
      <c r="AF191" s="313"/>
      <c r="AG191" s="313"/>
      <c r="AH191" s="313"/>
      <c r="AI191" s="313"/>
      <c r="AJ191" s="313"/>
      <c r="AK191" s="313"/>
      <c r="AL191" s="313"/>
      <c r="AM191" s="313"/>
      <c r="AN191" s="313"/>
      <c r="AO191" s="313"/>
      <c r="AP191" s="313"/>
      <c r="AQ191" s="313"/>
      <c r="AR191" s="313"/>
      <c r="AS191" s="313"/>
      <c r="AT191" s="109"/>
      <c r="AU191" s="109"/>
      <c r="AV191" s="109"/>
      <c r="AW191" s="109"/>
      <c r="AX191" s="109"/>
      <c r="AY191" s="109"/>
      <c r="AZ191" s="110"/>
      <c r="BA191" s="210">
        <f>AB191</f>
        <v>2.5</v>
      </c>
      <c r="BB191" s="211"/>
      <c r="BC191" s="211"/>
      <c r="BD191" s="211"/>
      <c r="BE191" s="211"/>
      <c r="BF191" s="212" t="s">
        <v>163</v>
      </c>
      <c r="BG191" s="212"/>
      <c r="BH191" s="213"/>
      <c r="BI191" s="87"/>
      <c r="BJ191" s="87"/>
      <c r="BK191" s="87"/>
      <c r="BL191" s="87"/>
      <c r="BM191" s="87"/>
      <c r="BN191" s="87"/>
      <c r="BO191" s="87"/>
      <c r="BP191" s="87"/>
      <c r="BQ191" s="87"/>
      <c r="BR191" s="87"/>
      <c r="BS191" s="87"/>
      <c r="BT191" s="87"/>
      <c r="BU191" s="87"/>
      <c r="BV191" s="87"/>
      <c r="BW191" s="87"/>
      <c r="BX191" s="87"/>
      <c r="BY191" s="87"/>
      <c r="BZ191" s="87"/>
      <c r="CA191" s="87"/>
      <c r="CB191" s="87"/>
      <c r="CC191" s="87"/>
      <c r="CD191" s="87"/>
      <c r="CE191" s="87"/>
      <c r="CF191" s="87"/>
      <c r="CG191" s="87"/>
      <c r="CH191" s="87"/>
      <c r="CI191" s="87"/>
      <c r="CJ191" s="87"/>
      <c r="CK191" s="87"/>
      <c r="CL191" s="87"/>
      <c r="CM191" s="87"/>
      <c r="CN191" s="87"/>
      <c r="CO191" s="87"/>
      <c r="CP191" s="87"/>
      <c r="CQ191" s="87"/>
      <c r="CR191" s="87"/>
      <c r="CS191" s="87"/>
      <c r="CT191" s="87"/>
      <c r="CU191" s="87"/>
      <c r="CV191" s="87"/>
      <c r="CW191" s="87"/>
      <c r="CX191" s="87"/>
      <c r="CY191" s="87"/>
      <c r="CZ191" s="87"/>
      <c r="DA191" s="87"/>
      <c r="DB191" s="119"/>
    </row>
    <row r="192" spans="1:106" s="88" customFormat="1" ht="12" customHeight="1">
      <c r="A192" s="286" t="s">
        <v>218</v>
      </c>
      <c r="B192" s="287"/>
      <c r="C192" s="287"/>
      <c r="D192" s="287"/>
      <c r="E192" s="287"/>
      <c r="F192" s="287"/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8"/>
      <c r="X192" s="208" t="s">
        <v>182</v>
      </c>
      <c r="Y192" s="209"/>
      <c r="Z192" s="209"/>
      <c r="AA192" s="44" t="s">
        <v>28</v>
      </c>
      <c r="AB192" s="276">
        <v>0.5</v>
      </c>
      <c r="AC192" s="276"/>
      <c r="AD192" s="276"/>
      <c r="AE192" s="276"/>
      <c r="AF192" s="225" t="s">
        <v>190</v>
      </c>
      <c r="AG192" s="225"/>
      <c r="AH192" s="225"/>
      <c r="AI192" s="149" t="s">
        <v>28</v>
      </c>
      <c r="AJ192" s="407" t="str">
        <f>CONCATENATE(AB191," x ",AB192," = ")</f>
        <v xml:space="preserve">2,5 x 0,5 = </v>
      </c>
      <c r="AK192" s="407"/>
      <c r="AL192" s="407"/>
      <c r="AM192" s="407"/>
      <c r="AN192" s="407"/>
      <c r="AO192" s="407"/>
      <c r="AP192" s="407"/>
      <c r="AQ192" s="407"/>
      <c r="AR192" s="407"/>
      <c r="AS192" s="407"/>
      <c r="AT192" s="407"/>
      <c r="AU192" s="407"/>
      <c r="AV192" s="407"/>
      <c r="AW192" s="407"/>
      <c r="AX192" s="407"/>
      <c r="AY192" s="407"/>
      <c r="AZ192" s="416"/>
      <c r="BA192" s="210">
        <f>ROUND(BA191*AB192,2)</f>
        <v>1.25</v>
      </c>
      <c r="BB192" s="211"/>
      <c r="BC192" s="211"/>
      <c r="BD192" s="211"/>
      <c r="BE192" s="211"/>
      <c r="BF192" s="212" t="s">
        <v>163</v>
      </c>
      <c r="BG192" s="212"/>
      <c r="BH192" s="213"/>
      <c r="BI192" s="87"/>
      <c r="BJ192" s="155">
        <f>ROUND(BA192*AP190,2)</f>
        <v>5</v>
      </c>
      <c r="BK192" s="87"/>
      <c r="BL192" s="87"/>
      <c r="BM192" s="87"/>
      <c r="BN192" s="87"/>
      <c r="BO192" s="87"/>
      <c r="BP192" s="87"/>
      <c r="BQ192" s="87"/>
      <c r="BR192" s="87"/>
      <c r="BS192" s="87"/>
      <c r="BT192" s="87"/>
      <c r="BU192" s="87"/>
      <c r="BV192" s="87"/>
      <c r="BW192" s="87"/>
      <c r="BX192" s="87"/>
      <c r="BY192" s="87"/>
      <c r="BZ192" s="87"/>
      <c r="CA192" s="87"/>
      <c r="CB192" s="87"/>
      <c r="CC192" s="87"/>
      <c r="CD192" s="87"/>
      <c r="CE192" s="87"/>
      <c r="CF192" s="87"/>
      <c r="CG192" s="87"/>
      <c r="CH192" s="87"/>
      <c r="CI192" s="87"/>
      <c r="CJ192" s="87"/>
      <c r="CK192" s="87"/>
      <c r="CL192" s="87"/>
      <c r="CM192" s="87"/>
      <c r="CN192" s="87"/>
      <c r="CO192" s="87"/>
      <c r="CP192" s="87"/>
      <c r="CQ192" s="87"/>
      <c r="CR192" s="87"/>
      <c r="CS192" s="87"/>
      <c r="CT192" s="87"/>
      <c r="CU192" s="87"/>
      <c r="CV192" s="87"/>
      <c r="CW192" s="87"/>
      <c r="CX192" s="87"/>
      <c r="CY192" s="87"/>
      <c r="CZ192" s="87"/>
      <c r="DA192" s="87"/>
      <c r="DB192" s="119"/>
    </row>
    <row r="193" spans="1:106" s="88" customFormat="1" ht="12" customHeight="1">
      <c r="A193" s="214"/>
      <c r="B193" s="215"/>
      <c r="C193" s="113"/>
      <c r="D193" s="417"/>
      <c r="E193" s="417"/>
      <c r="F193" s="417"/>
      <c r="G193" s="417"/>
      <c r="H193" s="417"/>
      <c r="I193" s="120"/>
      <c r="J193" s="120"/>
      <c r="K193" s="120"/>
      <c r="L193" s="120"/>
      <c r="M193" s="120"/>
      <c r="N193" s="120"/>
      <c r="O193" s="120"/>
      <c r="P193" s="120"/>
      <c r="Q193" s="120"/>
      <c r="R193" s="215"/>
      <c r="S193" s="215"/>
      <c r="T193" s="113"/>
      <c r="U193" s="217"/>
      <c r="V193" s="218"/>
      <c r="W193" s="219"/>
      <c r="X193" s="220" t="s">
        <v>162</v>
      </c>
      <c r="Y193" s="221"/>
      <c r="Z193" s="221"/>
      <c r="AA193" s="97" t="s">
        <v>28</v>
      </c>
      <c r="AB193" s="222" t="str">
        <f ca="1">CONCATENATE(BA192," x ",AP190," x ",$AO$17," x ",AP189, " x [1 + 0,5 x (",AW189," - 1)] = ")</f>
        <v xml:space="preserve">1,25 x 4 x 307,7 x 1,1263 x [1 + 0,5 x (1,023 - 1)] = </v>
      </c>
      <c r="AC193" s="222"/>
      <c r="AD193" s="222"/>
      <c r="AE193" s="222"/>
      <c r="AF193" s="222"/>
      <c r="AG193" s="222"/>
      <c r="AH193" s="222"/>
      <c r="AI193" s="222"/>
      <c r="AJ193" s="222"/>
      <c r="AK193" s="222"/>
      <c r="AL193" s="222"/>
      <c r="AM193" s="222"/>
      <c r="AN193" s="222"/>
      <c r="AO193" s="222"/>
      <c r="AP193" s="222"/>
      <c r="AQ193" s="222"/>
      <c r="AR193" s="222"/>
      <c r="AS193" s="222"/>
      <c r="AT193" s="222"/>
      <c r="AU193" s="222"/>
      <c r="AV193" s="222"/>
      <c r="AW193" s="222"/>
      <c r="AX193" s="222"/>
      <c r="AY193" s="222"/>
      <c r="AZ193" s="223"/>
      <c r="BA193" s="268">
        <f ca="1">ROUND(BA192*AP190*$AO$17*AP189*(1+0.5*(AW189-1)),2)</f>
        <v>1752.74</v>
      </c>
      <c r="BB193" s="269"/>
      <c r="BC193" s="269"/>
      <c r="BD193" s="269"/>
      <c r="BE193" s="269"/>
      <c r="BF193" s="270" t="s">
        <v>23</v>
      </c>
      <c r="BG193" s="270"/>
      <c r="BH193" s="271"/>
      <c r="BI193" s="87"/>
      <c r="BJ193" s="87"/>
      <c r="BK193" s="87"/>
      <c r="BL193" s="87"/>
      <c r="BM193" s="87"/>
      <c r="BN193" s="87"/>
      <c r="BO193" s="87"/>
      <c r="BP193" s="87"/>
      <c r="BQ193" s="87"/>
      <c r="BR193" s="87"/>
      <c r="BS193" s="87"/>
      <c r="BT193" s="87"/>
      <c r="BU193" s="87"/>
      <c r="BV193" s="87"/>
      <c r="BW193" s="87"/>
      <c r="BX193" s="87"/>
      <c r="BY193" s="87"/>
      <c r="BZ193" s="87"/>
      <c r="CA193" s="87"/>
      <c r="CB193" s="87"/>
      <c r="CC193" s="87"/>
      <c r="CD193" s="87"/>
      <c r="CE193" s="87"/>
      <c r="CF193" s="87"/>
      <c r="CG193" s="87"/>
      <c r="CH193" s="87"/>
      <c r="CI193" s="87"/>
      <c r="CJ193" s="87"/>
      <c r="CK193" s="87"/>
      <c r="CL193" s="87"/>
      <c r="CM193" s="87"/>
      <c r="CN193" s="87"/>
      <c r="CO193" s="87"/>
      <c r="CP193" s="87"/>
      <c r="CQ193" s="87"/>
      <c r="CR193" s="87"/>
      <c r="CS193" s="87"/>
      <c r="CT193" s="87"/>
      <c r="CU193" s="87"/>
      <c r="CV193" s="87"/>
      <c r="CW193" s="87"/>
      <c r="CX193" s="87"/>
      <c r="CY193" s="87"/>
      <c r="CZ193" s="87"/>
      <c r="DA193" s="87"/>
      <c r="DB193" s="119"/>
    </row>
    <row r="194" spans="1:106" ht="12" customHeight="1">
      <c r="A194" s="136" t="s">
        <v>219</v>
      </c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  <c r="AA194" s="137"/>
      <c r="AB194" s="137"/>
      <c r="AC194" s="137"/>
      <c r="AD194" s="137"/>
      <c r="AE194" s="137"/>
      <c r="AF194" s="137"/>
      <c r="AG194" s="137"/>
      <c r="AH194" s="137"/>
      <c r="AI194" s="137"/>
      <c r="AJ194" s="137"/>
      <c r="AK194" s="138"/>
      <c r="AL194" s="138"/>
      <c r="AM194" s="138"/>
      <c r="AN194" s="138"/>
      <c r="AO194" s="138"/>
      <c r="AP194" s="138"/>
      <c r="AQ194" s="139"/>
      <c r="AR194" s="140"/>
      <c r="AS194" s="139"/>
      <c r="AT194" s="139"/>
      <c r="AU194" s="139"/>
      <c r="AV194" s="139"/>
      <c r="AW194" s="267" t="s">
        <v>22</v>
      </c>
      <c r="AX194" s="267"/>
      <c r="AY194" s="267"/>
      <c r="AZ194" s="141" t="s">
        <v>28</v>
      </c>
      <c r="BA194" s="292">
        <f>BJ192+BA182+BA178+BJ174+BA168</f>
        <v>46.1</v>
      </c>
      <c r="BB194" s="292"/>
      <c r="BC194" s="292"/>
      <c r="BD194" s="292"/>
      <c r="BE194" s="292"/>
      <c r="BF194" s="142" t="s">
        <v>163</v>
      </c>
      <c r="BG194" s="142"/>
      <c r="BH194" s="143"/>
    </row>
    <row r="195" spans="1:106" s="88" customFormat="1" ht="12" customHeight="1">
      <c r="A195" s="264" t="s">
        <v>160</v>
      </c>
      <c r="B195" s="265"/>
      <c r="C195" s="265"/>
      <c r="D195" s="265"/>
      <c r="E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111"/>
      <c r="Y195" s="111"/>
      <c r="Z195" s="111"/>
      <c r="AA195" s="111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5"/>
      <c r="AU195" s="115"/>
      <c r="AV195" s="116"/>
      <c r="AW195" s="266" t="s">
        <v>167</v>
      </c>
      <c r="AX195" s="266"/>
      <c r="AY195" s="266"/>
      <c r="AZ195" s="112" t="s">
        <v>28</v>
      </c>
      <c r="BA195" s="260">
        <f ca="1">BA193+BA183+BA179+BA175+BA169</f>
        <v>15280.31</v>
      </c>
      <c r="BB195" s="260"/>
      <c r="BC195" s="260"/>
      <c r="BD195" s="260"/>
      <c r="BE195" s="260"/>
      <c r="BF195" s="261" t="s">
        <v>23</v>
      </c>
      <c r="BG195" s="261"/>
      <c r="BH195" s="262"/>
      <c r="BI195" s="87"/>
      <c r="BJ195" s="87"/>
      <c r="BK195" s="87"/>
      <c r="BL195" s="87"/>
      <c r="BM195" s="87"/>
      <c r="BN195" s="87"/>
      <c r="BO195" s="87"/>
      <c r="BP195" s="87"/>
      <c r="BQ195" s="87"/>
      <c r="BR195" s="87"/>
      <c r="BS195" s="87"/>
      <c r="BT195" s="87"/>
      <c r="BU195" s="87"/>
      <c r="BV195" s="87"/>
      <c r="BW195" s="87"/>
      <c r="BX195" s="87"/>
      <c r="BY195" s="87"/>
      <c r="BZ195" s="87"/>
      <c r="CA195" s="87"/>
      <c r="CB195" s="87"/>
      <c r="CC195" s="87"/>
      <c r="CD195" s="87"/>
      <c r="CE195" s="87"/>
      <c r="CF195" s="87"/>
      <c r="CG195" s="87"/>
      <c r="CH195" s="87"/>
      <c r="CI195" s="87"/>
      <c r="CJ195" s="87"/>
      <c r="CK195" s="87"/>
      <c r="CL195" s="87"/>
      <c r="CM195" s="87"/>
      <c r="CN195" s="87"/>
      <c r="CO195" s="87"/>
      <c r="CP195" s="87"/>
      <c r="CQ195" s="87"/>
      <c r="CR195" s="87"/>
      <c r="CS195" s="87"/>
      <c r="CT195" s="87"/>
      <c r="CU195" s="87"/>
      <c r="CV195" s="87"/>
      <c r="CW195" s="87"/>
      <c r="CX195" s="87"/>
      <c r="CY195" s="87"/>
      <c r="CZ195" s="87"/>
      <c r="DA195" s="87"/>
      <c r="DB195" s="119"/>
    </row>
    <row r="196" spans="1:106" s="1" customFormat="1" ht="13.5" customHeight="1">
      <c r="A196" s="249" t="str">
        <f ca="1">график!A32</f>
        <v>7</v>
      </c>
      <c r="B196" s="250"/>
      <c r="C196" s="236" t="str">
        <f ca="1">график!B32</f>
        <v>УСЛУГИ ПО ФИНАНСИРОВАНИЮ СТРОИТЕЛЬСТВА, ФИНАНСОВОМУ КОНТРОЛЮ И УЧЕТУ В СТРОИТЕЛЬСТВЕ</v>
      </c>
      <c r="D196" s="237"/>
      <c r="E196" s="237"/>
      <c r="F196" s="237"/>
      <c r="G196" s="237"/>
      <c r="H196" s="237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  <c r="X196" s="237"/>
      <c r="Y196" s="237"/>
      <c r="Z196" s="237"/>
      <c r="AA196" s="237"/>
      <c r="AB196" s="237"/>
      <c r="AC196" s="237"/>
      <c r="AD196" s="237"/>
      <c r="AE196" s="237"/>
      <c r="AF196" s="237"/>
      <c r="AG196" s="237"/>
      <c r="AH196" s="237"/>
      <c r="AI196" s="237"/>
      <c r="AJ196" s="237"/>
      <c r="AK196" s="237"/>
      <c r="AL196" s="237"/>
      <c r="AM196" s="237"/>
      <c r="AN196" s="237"/>
      <c r="AO196" s="237"/>
      <c r="AP196" s="237"/>
      <c r="AQ196" s="237"/>
      <c r="AR196" s="237"/>
      <c r="AS196" s="237"/>
      <c r="AT196" s="237"/>
      <c r="AU196" s="237"/>
      <c r="AV196" s="237"/>
      <c r="AW196" s="237"/>
      <c r="AX196" s="237"/>
      <c r="AY196" s="237"/>
      <c r="AZ196" s="237"/>
      <c r="BA196" s="237"/>
      <c r="BB196" s="237"/>
      <c r="BC196" s="237"/>
      <c r="BD196" s="237"/>
      <c r="BE196" s="237"/>
      <c r="BF196" s="237"/>
      <c r="BG196" s="237"/>
      <c r="BH196" s="238"/>
      <c r="BI196" s="87"/>
    </row>
    <row r="197" spans="1:106" s="90" customFormat="1" ht="12" customHeight="1">
      <c r="A197" s="239" t="str">
        <f ca="1">график!A33</f>
        <v>7.1</v>
      </c>
      <c r="B197" s="240"/>
      <c r="C197" s="205" t="str">
        <f ca="1">график!B33</f>
        <v>обеспечение финансирования строительства, осуществление финансового контроля за строительством и учет затрат заказчика (застройщика)</v>
      </c>
      <c r="D197" s="205"/>
      <c r="E197" s="205"/>
      <c r="F197" s="205"/>
      <c r="G197" s="205"/>
      <c r="H197" s="205"/>
      <c r="I197" s="205"/>
      <c r="J197" s="205"/>
      <c r="K197" s="205"/>
      <c r="L197" s="205"/>
      <c r="M197" s="205"/>
      <c r="N197" s="205"/>
      <c r="O197" s="205"/>
      <c r="P197" s="205"/>
      <c r="Q197" s="205"/>
      <c r="R197" s="205"/>
      <c r="S197" s="205"/>
      <c r="T197" s="205"/>
      <c r="U197" s="205"/>
      <c r="V197" s="205"/>
      <c r="W197" s="205"/>
      <c r="X197" s="205"/>
      <c r="Y197" s="205"/>
      <c r="Z197" s="205"/>
      <c r="AA197" s="205"/>
      <c r="AB197" s="205"/>
      <c r="AC197" s="205"/>
      <c r="AD197" s="205"/>
      <c r="AE197" s="205"/>
      <c r="AF197" s="205"/>
      <c r="AG197" s="205"/>
      <c r="AH197" s="205"/>
      <c r="AI197" s="205"/>
      <c r="AJ197" s="205"/>
      <c r="AK197" s="205"/>
      <c r="AL197" s="205"/>
      <c r="AM197" s="205"/>
      <c r="AN197" s="205"/>
      <c r="AO197" s="205"/>
      <c r="AP197" s="205"/>
      <c r="AQ197" s="205"/>
      <c r="AR197" s="205"/>
      <c r="AS197" s="205"/>
      <c r="AT197" s="205"/>
      <c r="AU197" s="205"/>
      <c r="AV197" s="205"/>
      <c r="AW197" s="205"/>
      <c r="AX197" s="205"/>
      <c r="AY197" s="205"/>
      <c r="AZ197" s="205"/>
      <c r="BA197" s="251" t="s">
        <v>245</v>
      </c>
      <c r="BB197" s="251"/>
      <c r="BC197" s="251"/>
      <c r="BD197" s="251"/>
      <c r="BE197" s="251"/>
      <c r="BF197" s="251"/>
      <c r="BG197" s="251"/>
      <c r="BH197" s="252"/>
      <c r="BI197" s="117"/>
      <c r="BJ197" s="117"/>
      <c r="BK197" s="117"/>
      <c r="BL197" s="117"/>
      <c r="BM197" s="117"/>
      <c r="BN197" s="117"/>
      <c r="BO197" s="117"/>
      <c r="BP197" s="117"/>
      <c r="BQ197" s="117"/>
      <c r="BR197" s="117"/>
      <c r="BS197" s="117"/>
      <c r="BT197" s="117"/>
      <c r="BU197" s="117"/>
      <c r="BV197" s="117"/>
      <c r="BW197" s="117"/>
      <c r="BX197" s="117"/>
      <c r="BY197" s="117"/>
      <c r="BZ197" s="117"/>
      <c r="CA197" s="117"/>
      <c r="CB197" s="117"/>
      <c r="CC197" s="117"/>
      <c r="CD197" s="117"/>
      <c r="CE197" s="117"/>
      <c r="CF197" s="117"/>
      <c r="CG197" s="117"/>
      <c r="CH197" s="117"/>
      <c r="CI197" s="117"/>
      <c r="CJ197" s="117"/>
      <c r="CK197" s="117"/>
      <c r="CL197" s="117"/>
      <c r="CM197" s="117"/>
      <c r="CN197" s="117"/>
      <c r="CO197" s="117"/>
      <c r="CP197" s="117"/>
      <c r="CQ197" s="117"/>
      <c r="CR197" s="117"/>
      <c r="CS197" s="117"/>
      <c r="CT197" s="117"/>
      <c r="CU197" s="117"/>
      <c r="CV197" s="117"/>
      <c r="CW197" s="117"/>
      <c r="CX197" s="117"/>
      <c r="CY197" s="117"/>
      <c r="CZ197" s="117"/>
      <c r="DA197" s="117"/>
      <c r="DB197" s="118"/>
    </row>
    <row r="198" spans="1:106" s="88" customFormat="1" ht="12" customHeight="1">
      <c r="A198" s="241" t="s">
        <v>181</v>
      </c>
      <c r="B198" s="242"/>
      <c r="C198" s="242"/>
      <c r="D198" s="242"/>
      <c r="E198" s="242"/>
      <c r="F198" s="242"/>
      <c r="G198" s="242"/>
      <c r="H198" s="242"/>
      <c r="I198" s="242"/>
      <c r="J198" s="242"/>
      <c r="K198" s="242"/>
      <c r="L198" s="242"/>
      <c r="M198" s="242"/>
      <c r="N198" s="242"/>
      <c r="O198" s="242"/>
      <c r="P198" s="242"/>
      <c r="Q198" s="242"/>
      <c r="R198" s="242"/>
      <c r="S198" s="242"/>
      <c r="T198" s="242"/>
      <c r="U198" s="242"/>
      <c r="V198" s="242"/>
      <c r="W198" s="243"/>
      <c r="X198" s="244" t="s">
        <v>45</v>
      </c>
      <c r="Y198" s="245"/>
      <c r="Z198" s="245"/>
      <c r="AA198" s="245"/>
      <c r="AB198" s="253">
        <f ca="1">график!C33</f>
        <v>45170</v>
      </c>
      <c r="AC198" s="246"/>
      <c r="AD198" s="246"/>
      <c r="AE198" s="246"/>
      <c r="AF198" s="246"/>
      <c r="AG198" s="93" t="s">
        <v>1</v>
      </c>
      <c r="AH198" s="254">
        <f ca="1">график!E33</f>
        <v>45658</v>
      </c>
      <c r="AI198" s="247"/>
      <c r="AJ198" s="247"/>
      <c r="AK198" s="247"/>
      <c r="AL198" s="247"/>
      <c r="AM198" s="255" t="s">
        <v>158</v>
      </c>
      <c r="AN198" s="255"/>
      <c r="AO198" s="91" t="s">
        <v>28</v>
      </c>
      <c r="AP198" s="256">
        <f ca="1">график!F33</f>
        <v>1.0170999999999999</v>
      </c>
      <c r="AQ198" s="256"/>
      <c r="AR198" s="256"/>
      <c r="AS198" s="256"/>
      <c r="AT198" s="255" t="s">
        <v>159</v>
      </c>
      <c r="AU198" s="255"/>
      <c r="AV198" s="91" t="s">
        <v>28</v>
      </c>
      <c r="AW198" s="228">
        <f ca="1">график!G33</f>
        <v>1.1404000000000001</v>
      </c>
      <c r="AX198" s="228"/>
      <c r="AY198" s="228"/>
      <c r="AZ198" s="229"/>
      <c r="BA198" s="230"/>
      <c r="BB198" s="231"/>
      <c r="BC198" s="231"/>
      <c r="BD198" s="231"/>
      <c r="BE198" s="231"/>
      <c r="BF198" s="231"/>
      <c r="BG198" s="231"/>
      <c r="BH198" s="232"/>
      <c r="BI198" s="87"/>
      <c r="BJ198" s="87"/>
      <c r="BK198" s="87"/>
      <c r="BL198" s="87"/>
      <c r="BM198" s="87"/>
      <c r="BN198" s="87"/>
      <c r="BO198" s="87"/>
      <c r="BP198" s="87"/>
      <c r="BQ198" s="87"/>
      <c r="BR198" s="87"/>
      <c r="BS198" s="87"/>
      <c r="BT198" s="87"/>
      <c r="BU198" s="87"/>
      <c r="BV198" s="87"/>
      <c r="BW198" s="87"/>
      <c r="BX198" s="87"/>
      <c r="BY198" s="87"/>
      <c r="BZ198" s="87"/>
      <c r="CA198" s="87"/>
      <c r="CB198" s="87"/>
      <c r="CC198" s="87"/>
      <c r="CD198" s="87"/>
      <c r="CE198" s="87"/>
      <c r="CF198" s="87"/>
      <c r="CG198" s="87"/>
      <c r="CH198" s="87"/>
      <c r="CI198" s="87"/>
      <c r="CJ198" s="87"/>
      <c r="CK198" s="87"/>
      <c r="CL198" s="87"/>
      <c r="CM198" s="87"/>
      <c r="CN198" s="87"/>
      <c r="CO198" s="87"/>
      <c r="CP198" s="87"/>
      <c r="CQ198" s="87"/>
      <c r="CR198" s="87"/>
      <c r="CS198" s="87"/>
      <c r="CT198" s="87"/>
      <c r="CU198" s="87"/>
      <c r="CV198" s="87"/>
      <c r="CW198" s="87"/>
      <c r="CX198" s="87"/>
      <c r="CY198" s="87"/>
      <c r="CZ198" s="87"/>
      <c r="DA198" s="87"/>
      <c r="DB198" s="119"/>
    </row>
    <row r="199" spans="1:106" s="88" customFormat="1" ht="12" customHeight="1">
      <c r="A199" s="273" t="s">
        <v>179</v>
      </c>
      <c r="B199" s="274"/>
      <c r="C199" s="274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5"/>
      <c r="X199" s="208" t="s">
        <v>39</v>
      </c>
      <c r="Y199" s="209"/>
      <c r="Z199" s="209"/>
      <c r="AA199" s="44" t="s">
        <v>28</v>
      </c>
      <c r="AB199" s="226">
        <v>3000</v>
      </c>
      <c r="AC199" s="226"/>
      <c r="AD199" s="226"/>
      <c r="AE199" s="226"/>
      <c r="AF199" s="248" t="s">
        <v>40</v>
      </c>
      <c r="AG199" s="209"/>
      <c r="AH199" s="209"/>
      <c r="AI199" s="209"/>
      <c r="AJ199" s="209"/>
      <c r="AK199" s="44" t="s">
        <v>28</v>
      </c>
      <c r="AL199" s="289">
        <v>30</v>
      </c>
      <c r="AM199" s="290"/>
      <c r="AN199" s="290"/>
      <c r="AO199" s="290"/>
      <c r="AP199" s="290"/>
      <c r="AQ199" s="258"/>
      <c r="AR199" s="258"/>
      <c r="AS199" s="272"/>
      <c r="AT199" s="272"/>
      <c r="AU199" s="272"/>
      <c r="AV199" s="98"/>
      <c r="AW199" s="263"/>
      <c r="AX199" s="226"/>
      <c r="AY199" s="226"/>
      <c r="AZ199" s="227"/>
      <c r="BA199" s="210"/>
      <c r="BB199" s="211"/>
      <c r="BC199" s="211"/>
      <c r="BD199" s="211"/>
      <c r="BE199" s="211"/>
      <c r="BF199" s="212"/>
      <c r="BG199" s="212"/>
      <c r="BH199" s="213"/>
      <c r="BI199" s="87"/>
      <c r="BJ199" s="87"/>
      <c r="BK199" s="87"/>
      <c r="BL199" s="87"/>
      <c r="BM199" s="87"/>
      <c r="BN199" s="87"/>
      <c r="BO199" s="87"/>
      <c r="BP199" s="87"/>
      <c r="BQ199" s="87"/>
      <c r="BR199" s="87"/>
      <c r="BS199" s="87"/>
      <c r="BT199" s="87"/>
      <c r="BU199" s="87"/>
      <c r="BV199" s="87"/>
      <c r="BW199" s="87"/>
      <c r="BX199" s="87"/>
      <c r="BY199" s="87"/>
      <c r="BZ199" s="87"/>
      <c r="CA199" s="87"/>
      <c r="CB199" s="87"/>
      <c r="CC199" s="87"/>
      <c r="CD199" s="87"/>
      <c r="CE199" s="87"/>
      <c r="CF199" s="87"/>
      <c r="CG199" s="87"/>
      <c r="CH199" s="87"/>
      <c r="CI199" s="87"/>
      <c r="CJ199" s="87"/>
      <c r="CK199" s="87"/>
      <c r="CL199" s="87"/>
      <c r="CM199" s="87"/>
      <c r="CN199" s="87"/>
      <c r="CO199" s="87"/>
      <c r="CP199" s="87"/>
      <c r="CQ199" s="87"/>
      <c r="CR199" s="87"/>
      <c r="CS199" s="87"/>
      <c r="CT199" s="87"/>
      <c r="CU199" s="87"/>
      <c r="CV199" s="87"/>
      <c r="CW199" s="87"/>
      <c r="CX199" s="87"/>
      <c r="CY199" s="87"/>
      <c r="CZ199" s="87"/>
      <c r="DA199" s="87"/>
      <c r="DB199" s="119"/>
    </row>
    <row r="200" spans="1:106" s="88" customFormat="1" ht="12" customHeight="1">
      <c r="A200" s="273"/>
      <c r="B200" s="274"/>
      <c r="C200" s="274"/>
      <c r="D200" s="274"/>
      <c r="E200" s="274"/>
      <c r="F200" s="274"/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5"/>
      <c r="X200" s="208" t="s">
        <v>43</v>
      </c>
      <c r="Y200" s="209"/>
      <c r="Z200" s="209"/>
      <c r="AA200" s="44" t="s">
        <v>28</v>
      </c>
      <c r="AB200" s="226">
        <v>4000</v>
      </c>
      <c r="AC200" s="226"/>
      <c r="AD200" s="226"/>
      <c r="AE200" s="226"/>
      <c r="AF200" s="248" t="s">
        <v>44</v>
      </c>
      <c r="AG200" s="209"/>
      <c r="AH200" s="209"/>
      <c r="AI200" s="209"/>
      <c r="AJ200" s="209"/>
      <c r="AK200" s="44" t="s">
        <v>28</v>
      </c>
      <c r="AL200" s="289">
        <v>36</v>
      </c>
      <c r="AM200" s="290"/>
      <c r="AN200" s="290"/>
      <c r="AO200" s="290"/>
      <c r="AP200" s="290"/>
      <c r="AQ200" s="108"/>
      <c r="AR200" s="108"/>
      <c r="AS200" s="108"/>
      <c r="AT200" s="108"/>
      <c r="AU200" s="108"/>
      <c r="AV200" s="108"/>
      <c r="AW200" s="108"/>
      <c r="AX200" s="108"/>
      <c r="AY200" s="108"/>
      <c r="AZ200" s="135"/>
      <c r="BA200" s="210"/>
      <c r="BB200" s="211"/>
      <c r="BC200" s="211"/>
      <c r="BD200" s="211"/>
      <c r="BE200" s="211"/>
      <c r="BF200" s="212"/>
      <c r="BG200" s="212"/>
      <c r="BH200" s="213"/>
      <c r="BI200" s="87"/>
      <c r="BJ200" s="87"/>
      <c r="BK200" s="87"/>
      <c r="BL200" s="87"/>
      <c r="BM200" s="87"/>
      <c r="BN200" s="87"/>
      <c r="BO200" s="87"/>
      <c r="BP200" s="87"/>
      <c r="BQ200" s="87"/>
      <c r="BR200" s="87"/>
      <c r="BS200" s="87"/>
      <c r="BT200" s="87"/>
      <c r="BU200" s="87"/>
      <c r="BV200" s="87"/>
      <c r="BW200" s="87"/>
      <c r="BX200" s="87"/>
      <c r="BY200" s="87"/>
      <c r="BZ200" s="87"/>
      <c r="CA200" s="87"/>
      <c r="CB200" s="87"/>
      <c r="CC200" s="87"/>
      <c r="CD200" s="87"/>
      <c r="CE200" s="87"/>
      <c r="CF200" s="87"/>
      <c r="CG200" s="87"/>
      <c r="CH200" s="87"/>
      <c r="CI200" s="87"/>
      <c r="CJ200" s="87"/>
      <c r="CK200" s="87"/>
      <c r="CL200" s="87"/>
      <c r="CM200" s="87"/>
      <c r="CN200" s="87"/>
      <c r="CO200" s="87"/>
      <c r="CP200" s="87"/>
      <c r="CQ200" s="87"/>
      <c r="CR200" s="87"/>
      <c r="CS200" s="87"/>
      <c r="CT200" s="87"/>
      <c r="CU200" s="87"/>
      <c r="CV200" s="87"/>
      <c r="CW200" s="87"/>
      <c r="CX200" s="87"/>
      <c r="CY200" s="87"/>
      <c r="CZ200" s="87"/>
      <c r="DA200" s="87"/>
      <c r="DB200" s="119"/>
    </row>
    <row r="201" spans="1:106" s="88" customFormat="1" ht="12" customHeight="1">
      <c r="A201" s="273"/>
      <c r="B201" s="274"/>
      <c r="C201" s="274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5"/>
      <c r="X201" s="224" t="s">
        <v>22</v>
      </c>
      <c r="Y201" s="225"/>
      <c r="Z201" s="225"/>
      <c r="AA201" s="94" t="s">
        <v>28</v>
      </c>
      <c r="AB201" s="226" t="str">
        <f>CONCATENATE(AL199," + [(",AL200," - ", AL199,") / (",AB200," - ", AB199,")] x (",D205," - ",AB199,")  = ")</f>
        <v xml:space="preserve">30 + [(36 - 30) / (4000 - 3000)] x (3310 - 3000)  = </v>
      </c>
      <c r="AC201" s="226"/>
      <c r="AD201" s="226"/>
      <c r="AE201" s="226"/>
      <c r="AF201" s="226"/>
      <c r="AG201" s="226"/>
      <c r="AH201" s="226"/>
      <c r="AI201" s="226"/>
      <c r="AJ201" s="226"/>
      <c r="AK201" s="226"/>
      <c r="AL201" s="226"/>
      <c r="AM201" s="226"/>
      <c r="AN201" s="226"/>
      <c r="AO201" s="226"/>
      <c r="AP201" s="226"/>
      <c r="AQ201" s="226"/>
      <c r="AR201" s="226"/>
      <c r="AS201" s="226"/>
      <c r="AT201" s="226"/>
      <c r="AU201" s="226"/>
      <c r="AV201" s="226"/>
      <c r="AW201" s="226"/>
      <c r="AX201" s="226"/>
      <c r="AY201" s="226"/>
      <c r="AZ201" s="227"/>
      <c r="BA201" s="210">
        <f>ROUND(AL199 + ((AL200-AL199) / (AB200-AB199)) * (D205-AB199),2)</f>
        <v>31.86</v>
      </c>
      <c r="BB201" s="211"/>
      <c r="BC201" s="211"/>
      <c r="BD201" s="211"/>
      <c r="BE201" s="211"/>
      <c r="BF201" s="212" t="s">
        <v>163</v>
      </c>
      <c r="BG201" s="212"/>
      <c r="BH201" s="213"/>
      <c r="BI201" s="87"/>
      <c r="BJ201" s="144" t="s">
        <v>171</v>
      </c>
      <c r="BK201" s="87"/>
      <c r="BL201" s="87"/>
      <c r="BP201" s="87"/>
      <c r="BQ201" s="87"/>
      <c r="BR201" s="87"/>
      <c r="BS201" s="87"/>
      <c r="BT201" s="87"/>
      <c r="BU201" s="87"/>
      <c r="BV201" s="87"/>
      <c r="BW201" s="87"/>
      <c r="BX201" s="87"/>
      <c r="BY201" s="87"/>
      <c r="BZ201" s="87"/>
      <c r="CA201" s="87"/>
      <c r="CB201" s="87"/>
      <c r="CC201" s="87"/>
      <c r="CD201" s="87"/>
      <c r="CE201" s="87"/>
      <c r="CF201" s="87"/>
      <c r="CG201" s="87"/>
      <c r="CH201" s="87"/>
      <c r="CI201" s="87"/>
      <c r="CJ201" s="87"/>
      <c r="CK201" s="87"/>
      <c r="CL201" s="87"/>
      <c r="CM201" s="87"/>
      <c r="CN201" s="87"/>
      <c r="CO201" s="87"/>
      <c r="CP201" s="87"/>
      <c r="CQ201" s="87"/>
      <c r="CR201" s="87"/>
      <c r="CS201" s="87"/>
      <c r="CT201" s="87"/>
      <c r="CU201" s="87"/>
      <c r="CV201" s="87"/>
      <c r="CW201" s="87"/>
      <c r="CX201" s="87"/>
      <c r="CY201" s="87"/>
      <c r="CZ201" s="87"/>
      <c r="DA201" s="87"/>
      <c r="DB201" s="119"/>
    </row>
    <row r="202" spans="1:106" s="88" customFormat="1" ht="12" customHeight="1">
      <c r="A202" s="286" t="s">
        <v>30</v>
      </c>
      <c r="B202" s="287"/>
      <c r="C202" s="287"/>
      <c r="D202" s="287"/>
      <c r="E202" s="287"/>
      <c r="F202" s="287"/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8"/>
      <c r="X202" s="208" t="s">
        <v>182</v>
      </c>
      <c r="Y202" s="209"/>
      <c r="Z202" s="209"/>
      <c r="AA202" s="44" t="s">
        <v>28</v>
      </c>
      <c r="AB202" s="276">
        <v>1.05</v>
      </c>
      <c r="AC202" s="276"/>
      <c r="AD202" s="276"/>
      <c r="AE202" s="258" t="s">
        <v>184</v>
      </c>
      <c r="AF202" s="258"/>
      <c r="AG202" s="98" t="s">
        <v>28</v>
      </c>
      <c r="AH202" s="407">
        <f>D205</f>
        <v>3310</v>
      </c>
      <c r="AI202" s="407"/>
      <c r="AJ202" s="407"/>
      <c r="AK202" s="248" t="s">
        <v>189</v>
      </c>
      <c r="AL202" s="248"/>
      <c r="AM202" s="44" t="s">
        <v>28</v>
      </c>
      <c r="AN202" s="226" t="str">
        <f>CONCATENATE("1 + (",AB202," - 1) x ",AH202," / ",D205)</f>
        <v>1 + (1,05 - 1) x 3310 / 3310</v>
      </c>
      <c r="AO202" s="226"/>
      <c r="AP202" s="226"/>
      <c r="AQ202" s="226"/>
      <c r="AR202" s="226"/>
      <c r="AS202" s="226"/>
      <c r="AT202" s="226"/>
      <c r="AU202" s="226"/>
      <c r="AV202" s="226"/>
      <c r="AW202" s="226"/>
      <c r="AX202" s="226"/>
      <c r="AY202" s="226"/>
      <c r="AZ202" s="110" t="s">
        <v>28</v>
      </c>
      <c r="BA202" s="284">
        <f>ROUND(1 + (AB202 - 1) *(AH202 / D205),2)</f>
        <v>1.05</v>
      </c>
      <c r="BB202" s="285"/>
      <c r="BC202" s="285"/>
      <c r="BD202" s="285"/>
      <c r="BE202" s="285"/>
      <c r="BF202" s="100"/>
      <c r="BG202" s="100"/>
      <c r="BH202" s="101"/>
      <c r="BI202" s="87"/>
      <c r="BJ202" s="87"/>
      <c r="BK202" s="87"/>
      <c r="BL202" s="87"/>
      <c r="BP202" s="87"/>
      <c r="BQ202" s="87"/>
      <c r="BR202" s="87"/>
      <c r="BS202" s="87"/>
      <c r="BT202" s="87"/>
      <c r="BU202" s="87"/>
      <c r="BV202" s="87"/>
      <c r="BW202" s="87"/>
      <c r="BX202" s="87"/>
      <c r="BY202" s="87"/>
      <c r="BZ202" s="87"/>
      <c r="CA202" s="87"/>
      <c r="CB202" s="87"/>
      <c r="CC202" s="87"/>
      <c r="CD202" s="87"/>
      <c r="CE202" s="87"/>
      <c r="CF202" s="87"/>
      <c r="CG202" s="87"/>
      <c r="CH202" s="87"/>
      <c r="CI202" s="87"/>
      <c r="CJ202" s="87"/>
      <c r="CK202" s="87"/>
      <c r="CL202" s="87"/>
      <c r="CM202" s="87"/>
      <c r="CN202" s="87"/>
      <c r="CO202" s="87"/>
      <c r="CP202" s="87"/>
      <c r="CQ202" s="87"/>
      <c r="CR202" s="87"/>
      <c r="CS202" s="87"/>
      <c r="CT202" s="87"/>
      <c r="CU202" s="87"/>
      <c r="CV202" s="87"/>
      <c r="CW202" s="87"/>
      <c r="CX202" s="87"/>
      <c r="CY202" s="87"/>
      <c r="CZ202" s="87"/>
      <c r="DA202" s="87"/>
      <c r="DB202" s="119"/>
    </row>
    <row r="203" spans="1:106" s="88" customFormat="1" ht="12" customHeight="1">
      <c r="A203" s="286" t="s">
        <v>185</v>
      </c>
      <c r="B203" s="287"/>
      <c r="C203" s="287"/>
      <c r="D203" s="287"/>
      <c r="E203" s="287"/>
      <c r="F203" s="287"/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8"/>
      <c r="X203" s="208" t="s">
        <v>183</v>
      </c>
      <c r="Y203" s="209"/>
      <c r="Z203" s="209"/>
      <c r="AA203" s="44" t="s">
        <v>28</v>
      </c>
      <c r="AB203" s="276">
        <v>2.19</v>
      </c>
      <c r="AC203" s="276"/>
      <c r="AD203" s="276"/>
      <c r="AE203" s="258" t="s">
        <v>184</v>
      </c>
      <c r="AF203" s="258"/>
      <c r="AG203" s="98" t="s">
        <v>28</v>
      </c>
      <c r="AH203" s="407">
        <v>180</v>
      </c>
      <c r="AI203" s="407"/>
      <c r="AJ203" s="407"/>
      <c r="AK203" s="248" t="s">
        <v>189</v>
      </c>
      <c r="AL203" s="248"/>
      <c r="AM203" s="44" t="s">
        <v>28</v>
      </c>
      <c r="AN203" s="226" t="str">
        <f>CONCATENATE("1 + (1 - ",AB203,") x ",AH203," / ",D205)</f>
        <v>1 + (1 - 2,19) x 180 / 3310</v>
      </c>
      <c r="AO203" s="226"/>
      <c r="AP203" s="226"/>
      <c r="AQ203" s="226"/>
      <c r="AR203" s="226"/>
      <c r="AS203" s="226"/>
      <c r="AT203" s="226"/>
      <c r="AU203" s="226"/>
      <c r="AV203" s="226"/>
      <c r="AW203" s="226"/>
      <c r="AX203" s="226"/>
      <c r="AY203" s="226"/>
      <c r="AZ203" s="110" t="s">
        <v>28</v>
      </c>
      <c r="BA203" s="284">
        <f>ROUND(1 + (AB203 - 1) *(AH203 / D205),2)</f>
        <v>1.06</v>
      </c>
      <c r="BB203" s="285"/>
      <c r="BC203" s="285"/>
      <c r="BD203" s="285"/>
      <c r="BE203" s="285"/>
      <c r="BF203" s="100"/>
      <c r="BG203" s="100"/>
      <c r="BH203" s="101"/>
      <c r="BI203" s="87"/>
      <c r="BJ203" s="151">
        <f>(1+(BA202-1)+(BA203-1))</f>
        <v>1.1100000000000001</v>
      </c>
      <c r="BK203" s="87"/>
      <c r="BL203" s="87"/>
      <c r="BM203" s="87"/>
      <c r="BN203" s="87"/>
      <c r="BO203" s="87"/>
      <c r="BP203" s="87"/>
      <c r="BQ203" s="87"/>
      <c r="BR203" s="87"/>
      <c r="BS203" s="87"/>
      <c r="BT203" s="87"/>
      <c r="BU203" s="87"/>
      <c r="BV203" s="87"/>
      <c r="BW203" s="87"/>
      <c r="BX203" s="87"/>
      <c r="BY203" s="87"/>
      <c r="BZ203" s="87"/>
      <c r="CA203" s="87"/>
      <c r="CB203" s="87"/>
      <c r="CC203" s="87"/>
      <c r="CD203" s="87"/>
      <c r="CE203" s="87"/>
      <c r="CF203" s="87"/>
      <c r="CG203" s="87"/>
      <c r="CH203" s="87"/>
      <c r="CI203" s="87"/>
      <c r="CJ203" s="87"/>
      <c r="CK203" s="87"/>
      <c r="CL203" s="87"/>
      <c r="CM203" s="87"/>
      <c r="CN203" s="87"/>
      <c r="CO203" s="87"/>
      <c r="CP203" s="87"/>
      <c r="CQ203" s="87"/>
      <c r="CR203" s="87"/>
      <c r="CS203" s="87"/>
      <c r="CT203" s="87"/>
      <c r="CU203" s="87"/>
      <c r="CV203" s="87"/>
      <c r="CW203" s="87"/>
      <c r="CX203" s="87"/>
      <c r="CY203" s="87"/>
      <c r="CZ203" s="87"/>
      <c r="DA203" s="87"/>
      <c r="DB203" s="119"/>
    </row>
    <row r="204" spans="1:106" s="88" customFormat="1" ht="12" customHeight="1">
      <c r="A204" s="129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1"/>
      <c r="X204" s="420" t="s">
        <v>190</v>
      </c>
      <c r="Y204" s="421"/>
      <c r="Z204" s="421"/>
      <c r="AA204" s="94" t="s">
        <v>28</v>
      </c>
      <c r="AB204" s="226" t="str">
        <f>CONCATENATE(BA201," x [1 + (",BA202," - 1) + (",BA203," - 1)] = ",BA201," x ",BJ203," = ")</f>
        <v xml:space="preserve">31,86 x [1 + (1,05 - 1) + (1,06 - 1)] = 31,86 x 1,11 = </v>
      </c>
      <c r="AC204" s="226"/>
      <c r="AD204" s="226"/>
      <c r="AE204" s="226"/>
      <c r="AF204" s="226"/>
      <c r="AG204" s="226"/>
      <c r="AH204" s="226"/>
      <c r="AI204" s="226"/>
      <c r="AJ204" s="226"/>
      <c r="AK204" s="226"/>
      <c r="AL204" s="226"/>
      <c r="AM204" s="226"/>
      <c r="AN204" s="226"/>
      <c r="AO204" s="226"/>
      <c r="AP204" s="226"/>
      <c r="AQ204" s="226"/>
      <c r="AR204" s="226"/>
      <c r="AS204" s="226"/>
      <c r="AT204" s="226"/>
      <c r="AU204" s="226"/>
      <c r="AV204" s="226"/>
      <c r="AW204" s="226"/>
      <c r="AX204" s="226"/>
      <c r="AY204" s="226"/>
      <c r="AZ204" s="227"/>
      <c r="BA204" s="210">
        <f>ROUND(BA201*BJ203,2)</f>
        <v>35.36</v>
      </c>
      <c r="BB204" s="211"/>
      <c r="BC204" s="211"/>
      <c r="BD204" s="211"/>
      <c r="BE204" s="211"/>
      <c r="BF204" s="212" t="s">
        <v>163</v>
      </c>
      <c r="BG204" s="212"/>
      <c r="BH204" s="213"/>
      <c r="BI204" s="87"/>
      <c r="BJ204" s="144"/>
      <c r="BK204" s="87"/>
      <c r="BL204" s="87"/>
      <c r="BM204" s="87"/>
      <c r="BN204" s="87"/>
      <c r="BO204" s="87"/>
      <c r="BP204" s="87"/>
      <c r="BQ204" s="87"/>
      <c r="BR204" s="87"/>
      <c r="BS204" s="87"/>
      <c r="BT204" s="87"/>
      <c r="BU204" s="87"/>
      <c r="BV204" s="87"/>
      <c r="BW204" s="87"/>
      <c r="BX204" s="87"/>
      <c r="BY204" s="87"/>
      <c r="BZ204" s="87"/>
      <c r="CA204" s="87"/>
      <c r="CB204" s="87"/>
      <c r="CC204" s="87"/>
      <c r="CD204" s="87"/>
      <c r="CE204" s="87"/>
      <c r="CF204" s="87"/>
      <c r="CG204" s="87"/>
      <c r="CH204" s="87"/>
      <c r="CI204" s="87"/>
      <c r="CJ204" s="87"/>
      <c r="CK204" s="87"/>
      <c r="CL204" s="87"/>
      <c r="CM204" s="87"/>
      <c r="CN204" s="87"/>
      <c r="CO204" s="87"/>
      <c r="CP204" s="87"/>
      <c r="CQ204" s="87"/>
      <c r="CR204" s="87"/>
      <c r="CS204" s="87"/>
      <c r="CT204" s="87"/>
      <c r="CU204" s="87"/>
      <c r="CV204" s="87"/>
      <c r="CW204" s="87"/>
      <c r="CX204" s="87"/>
      <c r="CY204" s="87"/>
      <c r="CZ204" s="87"/>
      <c r="DA204" s="87"/>
      <c r="DB204" s="119"/>
    </row>
    <row r="205" spans="1:106" s="88" customFormat="1" ht="12" customHeight="1">
      <c r="A205" s="214" t="s">
        <v>170</v>
      </c>
      <c r="B205" s="215"/>
      <c r="C205" s="113" t="s">
        <v>28</v>
      </c>
      <c r="D205" s="417">
        <f>$D$57</f>
        <v>3310</v>
      </c>
      <c r="E205" s="417"/>
      <c r="F205" s="417"/>
      <c r="G205" s="417"/>
      <c r="H205" s="417"/>
      <c r="I205" s="120"/>
      <c r="J205" s="120"/>
      <c r="K205" s="120"/>
      <c r="L205" s="120"/>
      <c r="M205" s="120"/>
      <c r="N205" s="120"/>
      <c r="O205" s="120"/>
      <c r="P205" s="120"/>
      <c r="Q205" s="120"/>
      <c r="R205" s="215"/>
      <c r="S205" s="215"/>
      <c r="T205" s="113"/>
      <c r="U205" s="217"/>
      <c r="V205" s="218"/>
      <c r="W205" s="219"/>
      <c r="X205" s="422" t="s">
        <v>162</v>
      </c>
      <c r="Y205" s="423"/>
      <c r="Z205" s="423"/>
      <c r="AA205" s="97" t="s">
        <v>28</v>
      </c>
      <c r="AB205" s="222" t="str">
        <f ca="1">CONCATENATE(BA204," x ",$AO$17," x ", AP198," x [1 + 0,5 x (",AW198," - 1)]  = ")</f>
        <v xml:space="preserve">35,36 x 307,7 x 1,0171 x [1 + 0,5 x (1,1404 - 1)]  = </v>
      </c>
      <c r="AC205" s="222"/>
      <c r="AD205" s="222"/>
      <c r="AE205" s="222"/>
      <c r="AF205" s="222"/>
      <c r="AG205" s="222"/>
      <c r="AH205" s="222"/>
      <c r="AI205" s="222"/>
      <c r="AJ205" s="222"/>
      <c r="AK205" s="222"/>
      <c r="AL205" s="222"/>
      <c r="AM205" s="222"/>
      <c r="AN205" s="222"/>
      <c r="AO205" s="222"/>
      <c r="AP205" s="222"/>
      <c r="AQ205" s="222"/>
      <c r="AR205" s="222"/>
      <c r="AS205" s="222"/>
      <c r="AT205" s="222"/>
      <c r="AU205" s="222"/>
      <c r="AV205" s="222"/>
      <c r="AW205" s="222"/>
      <c r="AX205" s="222"/>
      <c r="AY205" s="222"/>
      <c r="AZ205" s="223"/>
      <c r="BA205" s="268">
        <f ca="1">ROUND(BA204*$AO$17*AP198*(1+0.5*(AW198-1)),2)</f>
        <v>11843.18</v>
      </c>
      <c r="BB205" s="269"/>
      <c r="BC205" s="269"/>
      <c r="BD205" s="269"/>
      <c r="BE205" s="269"/>
      <c r="BF205" s="270" t="s">
        <v>23</v>
      </c>
      <c r="BG205" s="270"/>
      <c r="BH205" s="271"/>
      <c r="BI205" s="87"/>
      <c r="BJ205" s="87"/>
      <c r="BK205" s="87"/>
      <c r="BL205" s="87"/>
      <c r="BM205" s="87"/>
      <c r="BN205" s="87"/>
      <c r="BO205" s="87"/>
      <c r="BP205" s="87"/>
      <c r="BQ205" s="87"/>
      <c r="BR205" s="87"/>
      <c r="BS205" s="87"/>
      <c r="BT205" s="87"/>
      <c r="BU205" s="87"/>
      <c r="BV205" s="87"/>
      <c r="BW205" s="87"/>
      <c r="BX205" s="87"/>
      <c r="BY205" s="87"/>
      <c r="BZ205" s="87"/>
      <c r="CA205" s="87"/>
      <c r="CB205" s="87"/>
      <c r="CC205" s="87"/>
      <c r="CD205" s="87"/>
      <c r="CE205" s="87"/>
      <c r="CF205" s="87"/>
      <c r="CG205" s="87"/>
      <c r="CH205" s="87"/>
      <c r="CI205" s="87"/>
      <c r="CJ205" s="87"/>
      <c r="CK205" s="87"/>
      <c r="CL205" s="87"/>
      <c r="CM205" s="87"/>
      <c r="CN205" s="87"/>
      <c r="CO205" s="87"/>
      <c r="CP205" s="87"/>
      <c r="CQ205" s="87"/>
      <c r="CR205" s="87"/>
      <c r="CS205" s="87"/>
      <c r="CT205" s="87"/>
      <c r="CU205" s="87"/>
      <c r="CV205" s="87"/>
      <c r="CW205" s="87"/>
      <c r="CX205" s="87"/>
      <c r="CY205" s="87"/>
      <c r="CZ205" s="87"/>
      <c r="DA205" s="87"/>
      <c r="DB205" s="119"/>
    </row>
    <row r="206" spans="1:106" s="88" customFormat="1" ht="12" customHeight="1">
      <c r="A206" s="427" t="s">
        <v>227</v>
      </c>
      <c r="B206" s="428"/>
      <c r="C206" s="428"/>
      <c r="D206" s="428"/>
      <c r="E206" s="428"/>
      <c r="F206" s="428"/>
      <c r="G206" s="428"/>
      <c r="H206" s="428"/>
      <c r="I206" s="428"/>
      <c r="J206" s="428"/>
      <c r="K206" s="428"/>
      <c r="L206" s="428"/>
      <c r="M206" s="428"/>
      <c r="N206" s="428"/>
      <c r="O206" s="428"/>
      <c r="P206" s="428"/>
      <c r="Q206" s="428"/>
      <c r="R206" s="428"/>
      <c r="S206" s="428"/>
      <c r="T206" s="428"/>
      <c r="U206" s="428"/>
      <c r="V206" s="428"/>
      <c r="W206" s="429"/>
      <c r="X206" s="299" t="s">
        <v>45</v>
      </c>
      <c r="Y206" s="300"/>
      <c r="Z206" s="300"/>
      <c r="AA206" s="300"/>
      <c r="AB206" s="301">
        <f ca="1">график!C33</f>
        <v>45170</v>
      </c>
      <c r="AC206" s="302"/>
      <c r="AD206" s="302"/>
      <c r="AE206" s="302"/>
      <c r="AF206" s="302"/>
      <c r="AG206" s="169" t="s">
        <v>1</v>
      </c>
      <c r="AH206" s="303">
        <f ca="1">график!E33</f>
        <v>45658</v>
      </c>
      <c r="AI206" s="304"/>
      <c r="AJ206" s="304"/>
      <c r="AK206" s="304"/>
      <c r="AL206" s="304"/>
      <c r="AM206" s="293" t="s">
        <v>158</v>
      </c>
      <c r="AN206" s="293"/>
      <c r="AO206" s="170" t="s">
        <v>28</v>
      </c>
      <c r="AP206" s="294">
        <f ca="1">график!F33</f>
        <v>1.0170999999999999</v>
      </c>
      <c r="AQ206" s="294"/>
      <c r="AR206" s="294"/>
      <c r="AS206" s="294"/>
      <c r="AT206" s="293" t="s">
        <v>159</v>
      </c>
      <c r="AU206" s="293"/>
      <c r="AV206" s="170" t="s">
        <v>28</v>
      </c>
      <c r="AW206" s="295">
        <f ca="1">график!G33</f>
        <v>1.1404000000000001</v>
      </c>
      <c r="AX206" s="295"/>
      <c r="AY206" s="295"/>
      <c r="AZ206" s="296"/>
      <c r="BA206" s="430"/>
      <c r="BB206" s="431"/>
      <c r="BC206" s="431"/>
      <c r="BD206" s="431"/>
      <c r="BE206" s="431"/>
      <c r="BF206" s="431"/>
      <c r="BG206" s="431"/>
      <c r="BH206" s="432"/>
      <c r="BI206" s="87"/>
      <c r="BJ206" s="87"/>
      <c r="BK206" s="87"/>
      <c r="BL206" s="87"/>
      <c r="BM206" s="87"/>
      <c r="BN206" s="87"/>
      <c r="BO206" s="87"/>
      <c r="BP206" s="87"/>
      <c r="BQ206" s="87"/>
      <c r="BR206" s="87"/>
      <c r="BS206" s="87"/>
      <c r="BT206" s="87"/>
      <c r="BU206" s="87"/>
      <c r="BV206" s="87"/>
      <c r="BW206" s="87"/>
      <c r="BX206" s="87"/>
      <c r="BY206" s="87"/>
      <c r="BZ206" s="87"/>
      <c r="CA206" s="87"/>
      <c r="CB206" s="87"/>
      <c r="CC206" s="87"/>
      <c r="CD206" s="87"/>
      <c r="CE206" s="87"/>
      <c r="CF206" s="87"/>
      <c r="CG206" s="87"/>
      <c r="CH206" s="87"/>
      <c r="CI206" s="87"/>
      <c r="CJ206" s="87"/>
      <c r="CK206" s="87"/>
      <c r="CL206" s="87"/>
      <c r="CM206" s="87"/>
      <c r="CN206" s="87"/>
      <c r="CO206" s="87"/>
      <c r="CP206" s="87"/>
      <c r="CQ206" s="87"/>
      <c r="CR206" s="87"/>
      <c r="CS206" s="87"/>
      <c r="CT206" s="87"/>
      <c r="CU206" s="87"/>
      <c r="CV206" s="87"/>
      <c r="CW206" s="87"/>
      <c r="CX206" s="87"/>
      <c r="CY206" s="87"/>
      <c r="CZ206" s="87"/>
      <c r="DA206" s="87"/>
      <c r="DB206" s="119"/>
    </row>
    <row r="207" spans="1:106" s="88" customFormat="1" ht="12" customHeight="1">
      <c r="A207" s="273" t="s">
        <v>226</v>
      </c>
      <c r="B207" s="274"/>
      <c r="C207" s="274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5"/>
      <c r="X207" s="208" t="s">
        <v>39</v>
      </c>
      <c r="Y207" s="209"/>
      <c r="Z207" s="209"/>
      <c r="AA207" s="44" t="s">
        <v>28</v>
      </c>
      <c r="AB207" s="226">
        <v>100</v>
      </c>
      <c r="AC207" s="226"/>
      <c r="AD207" s="226"/>
      <c r="AE207" s="226"/>
      <c r="AF207" s="248" t="s">
        <v>40</v>
      </c>
      <c r="AG207" s="209"/>
      <c r="AH207" s="209"/>
      <c r="AI207" s="209"/>
      <c r="AJ207" s="209"/>
      <c r="AK207" s="44" t="s">
        <v>28</v>
      </c>
      <c r="AL207" s="297">
        <v>0.59</v>
      </c>
      <c r="AM207" s="298"/>
      <c r="AN207" s="298"/>
      <c r="AO207" s="298"/>
      <c r="AP207" s="298"/>
      <c r="AQ207" s="258"/>
      <c r="AR207" s="258"/>
      <c r="AS207" s="272"/>
      <c r="AT207" s="272"/>
      <c r="AU207" s="272"/>
      <c r="AV207" s="98"/>
      <c r="AW207" s="263"/>
      <c r="AX207" s="226"/>
      <c r="AY207" s="226"/>
      <c r="AZ207" s="227"/>
      <c r="BA207" s="210"/>
      <c r="BB207" s="211"/>
      <c r="BC207" s="211"/>
      <c r="BD207" s="211"/>
      <c r="BE207" s="211"/>
      <c r="BF207" s="212"/>
      <c r="BG207" s="212"/>
      <c r="BH207" s="213"/>
      <c r="BI207" s="87"/>
      <c r="BJ207" s="87"/>
      <c r="BK207" s="87"/>
      <c r="BL207" s="87"/>
      <c r="BM207" s="87"/>
      <c r="BN207" s="87"/>
      <c r="BO207" s="87"/>
      <c r="BP207" s="87"/>
      <c r="BQ207" s="87"/>
      <c r="BR207" s="87"/>
      <c r="BS207" s="87"/>
      <c r="BT207" s="87"/>
      <c r="BU207" s="87"/>
      <c r="BV207" s="87"/>
      <c r="BW207" s="87"/>
      <c r="BX207" s="87"/>
      <c r="BY207" s="87"/>
      <c r="BZ207" s="87"/>
      <c r="CA207" s="87"/>
      <c r="CB207" s="87"/>
      <c r="CC207" s="87"/>
      <c r="CD207" s="87"/>
      <c r="CE207" s="87"/>
      <c r="CF207" s="87"/>
      <c r="CG207" s="87"/>
      <c r="CH207" s="87"/>
      <c r="CI207" s="87"/>
      <c r="CJ207" s="87"/>
      <c r="CK207" s="87"/>
      <c r="CL207" s="87"/>
      <c r="CM207" s="87"/>
      <c r="CN207" s="87"/>
      <c r="CO207" s="87"/>
      <c r="CP207" s="87"/>
      <c r="CQ207" s="87"/>
      <c r="CR207" s="87"/>
      <c r="CS207" s="87"/>
      <c r="CT207" s="87"/>
      <c r="CU207" s="87"/>
      <c r="CV207" s="87"/>
      <c r="CW207" s="87"/>
      <c r="CX207" s="87"/>
      <c r="CY207" s="87"/>
      <c r="CZ207" s="87"/>
      <c r="DA207" s="87"/>
      <c r="DB207" s="119"/>
    </row>
    <row r="208" spans="1:106" s="88" customFormat="1" ht="12" customHeight="1">
      <c r="A208" s="273"/>
      <c r="B208" s="274"/>
      <c r="C208" s="274"/>
      <c r="D208" s="274"/>
      <c r="E208" s="274"/>
      <c r="F208" s="274"/>
      <c r="G208" s="274"/>
      <c r="H208" s="274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4"/>
      <c r="U208" s="274"/>
      <c r="V208" s="274"/>
      <c r="W208" s="275"/>
      <c r="X208" s="208" t="s">
        <v>43</v>
      </c>
      <c r="Y208" s="209"/>
      <c r="Z208" s="209"/>
      <c r="AA208" s="44" t="s">
        <v>28</v>
      </c>
      <c r="AB208" s="226">
        <v>300</v>
      </c>
      <c r="AC208" s="226"/>
      <c r="AD208" s="226"/>
      <c r="AE208" s="226"/>
      <c r="AF208" s="248" t="s">
        <v>44</v>
      </c>
      <c r="AG208" s="209"/>
      <c r="AH208" s="209"/>
      <c r="AI208" s="209"/>
      <c r="AJ208" s="209"/>
      <c r="AK208" s="44" t="s">
        <v>28</v>
      </c>
      <c r="AL208" s="297">
        <v>1.37</v>
      </c>
      <c r="AM208" s="298"/>
      <c r="AN208" s="298"/>
      <c r="AO208" s="298"/>
      <c r="AP208" s="298"/>
      <c r="AQ208" s="108"/>
      <c r="AR208" s="108"/>
      <c r="AS208" s="108"/>
      <c r="AT208" s="108"/>
      <c r="AU208" s="108"/>
      <c r="AV208" s="108"/>
      <c r="AW208" s="108"/>
      <c r="AX208" s="108"/>
      <c r="AY208" s="108"/>
      <c r="AZ208" s="135"/>
      <c r="BA208" s="210"/>
      <c r="BB208" s="211"/>
      <c r="BC208" s="211"/>
      <c r="BD208" s="211"/>
      <c r="BE208" s="211"/>
      <c r="BF208" s="212"/>
      <c r="BG208" s="212"/>
      <c r="BH208" s="213"/>
      <c r="BI208" s="87"/>
      <c r="BJ208" s="87"/>
      <c r="BK208" s="87"/>
      <c r="BL208" s="87"/>
      <c r="BM208" s="87"/>
      <c r="BN208" s="87"/>
      <c r="BO208" s="87"/>
      <c r="BP208" s="87"/>
      <c r="BQ208" s="87"/>
      <c r="BR208" s="87"/>
      <c r="BS208" s="87"/>
      <c r="BT208" s="87"/>
      <c r="BU208" s="87"/>
      <c r="BV208" s="87"/>
      <c r="BW208" s="87"/>
      <c r="BX208" s="87"/>
      <c r="BY208" s="87"/>
      <c r="BZ208" s="87"/>
      <c r="CA208" s="87"/>
      <c r="CB208" s="87"/>
      <c r="CC208" s="87"/>
      <c r="CD208" s="87"/>
      <c r="CE208" s="87"/>
      <c r="CF208" s="87"/>
      <c r="CG208" s="87"/>
      <c r="CH208" s="87"/>
      <c r="CI208" s="87"/>
      <c r="CJ208" s="87"/>
      <c r="CK208" s="87"/>
      <c r="CL208" s="87"/>
      <c r="CM208" s="87"/>
      <c r="CN208" s="87"/>
      <c r="CO208" s="87"/>
      <c r="CP208" s="87"/>
      <c r="CQ208" s="87"/>
      <c r="CR208" s="87"/>
      <c r="CS208" s="87"/>
      <c r="CT208" s="87"/>
      <c r="CU208" s="87"/>
      <c r="CV208" s="87"/>
      <c r="CW208" s="87"/>
      <c r="CX208" s="87"/>
      <c r="CY208" s="87"/>
      <c r="CZ208" s="87"/>
      <c r="DA208" s="87"/>
      <c r="DB208" s="119"/>
    </row>
    <row r="209" spans="1:106" s="88" customFormat="1" ht="12" customHeight="1">
      <c r="A209" s="273"/>
      <c r="B209" s="274"/>
      <c r="C209" s="274"/>
      <c r="D209" s="274"/>
      <c r="E209" s="274"/>
      <c r="F209" s="274"/>
      <c r="G209" s="274"/>
      <c r="H209" s="274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5"/>
      <c r="X209" s="224" t="s">
        <v>22</v>
      </c>
      <c r="Y209" s="225"/>
      <c r="Z209" s="225"/>
      <c r="AA209" s="94" t="s">
        <v>28</v>
      </c>
      <c r="AB209" s="226" t="str">
        <f>CONCATENATE(AL207," + [(",AL208," - ", AL207,") / (",AB208," - ", AB207,")] x (",D213," - ",AB207,")  = ")</f>
        <v xml:space="preserve">0,59 + [(1,37 - 0,59) / (300 - 100)] x (107 - 100)  = </v>
      </c>
      <c r="AC209" s="226"/>
      <c r="AD209" s="226"/>
      <c r="AE209" s="226"/>
      <c r="AF209" s="226"/>
      <c r="AG209" s="226"/>
      <c r="AH209" s="226"/>
      <c r="AI209" s="226"/>
      <c r="AJ209" s="226"/>
      <c r="AK209" s="226"/>
      <c r="AL209" s="226"/>
      <c r="AM209" s="226"/>
      <c r="AN209" s="226"/>
      <c r="AO209" s="226"/>
      <c r="AP209" s="226"/>
      <c r="AQ209" s="226"/>
      <c r="AR209" s="226"/>
      <c r="AS209" s="226"/>
      <c r="AT209" s="226"/>
      <c r="AU209" s="226"/>
      <c r="AV209" s="226"/>
      <c r="AW209" s="226"/>
      <c r="AX209" s="226"/>
      <c r="AY209" s="226"/>
      <c r="AZ209" s="227"/>
      <c r="BA209" s="210">
        <f>ROUND(AL207 + ((AL208-AL207) / (AB208-AB207)) * (D213-AB207),2)</f>
        <v>0.62</v>
      </c>
      <c r="BB209" s="211"/>
      <c r="BC209" s="211"/>
      <c r="BD209" s="211"/>
      <c r="BE209" s="211"/>
      <c r="BF209" s="212" t="s">
        <v>163</v>
      </c>
      <c r="BG209" s="212"/>
      <c r="BH209" s="213"/>
      <c r="BI209" s="87"/>
      <c r="BJ209" s="144" t="s">
        <v>171</v>
      </c>
      <c r="BK209" s="87"/>
      <c r="BL209" s="87"/>
      <c r="BM209" s="87"/>
      <c r="BN209" s="87"/>
      <c r="BO209" s="87"/>
      <c r="BP209" s="87"/>
      <c r="BQ209" s="87"/>
      <c r="BR209" s="87"/>
      <c r="BS209" s="87"/>
      <c r="BT209" s="87"/>
      <c r="BU209" s="87"/>
      <c r="BV209" s="87"/>
      <c r="BW209" s="87"/>
      <c r="BX209" s="87"/>
      <c r="BY209" s="87"/>
      <c r="BZ209" s="87"/>
      <c r="CA209" s="87"/>
      <c r="CB209" s="87"/>
      <c r="CC209" s="87"/>
      <c r="CD209" s="87"/>
      <c r="CE209" s="87"/>
      <c r="CF209" s="87"/>
      <c r="CG209" s="87"/>
      <c r="CH209" s="87"/>
      <c r="CI209" s="87"/>
      <c r="CJ209" s="87"/>
      <c r="CK209" s="87"/>
      <c r="CL209" s="87"/>
      <c r="CM209" s="87"/>
      <c r="CN209" s="87"/>
      <c r="CO209" s="87"/>
      <c r="CP209" s="87"/>
      <c r="CQ209" s="87"/>
      <c r="CR209" s="87"/>
      <c r="CS209" s="87"/>
      <c r="CT209" s="87"/>
      <c r="CU209" s="87"/>
      <c r="CV209" s="87"/>
      <c r="CW209" s="87"/>
      <c r="CX209" s="87"/>
      <c r="CY209" s="87"/>
      <c r="CZ209" s="87"/>
      <c r="DA209" s="87"/>
      <c r="DB209" s="119"/>
    </row>
    <row r="210" spans="1:106" s="88" customFormat="1" ht="12" customHeight="1">
      <c r="A210" s="286" t="s">
        <v>229</v>
      </c>
      <c r="B210" s="287"/>
      <c r="C210" s="287"/>
      <c r="D210" s="287"/>
      <c r="E210" s="287"/>
      <c r="F210" s="287"/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8"/>
      <c r="X210" s="208" t="s">
        <v>230</v>
      </c>
      <c r="Y210" s="209"/>
      <c r="Z210" s="209"/>
      <c r="AA210" s="44" t="s">
        <v>28</v>
      </c>
      <c r="AB210" s="276">
        <v>1.1000000000000001</v>
      </c>
      <c r="AC210" s="276"/>
      <c r="AD210" s="276"/>
      <c r="AE210" s="258" t="s">
        <v>184</v>
      </c>
      <c r="AF210" s="258"/>
      <c r="AG210" s="98" t="s">
        <v>28</v>
      </c>
      <c r="AH210" s="407">
        <v>60</v>
      </c>
      <c r="AI210" s="407"/>
      <c r="AJ210" s="407"/>
      <c r="AK210" s="248" t="s">
        <v>189</v>
      </c>
      <c r="AL210" s="248"/>
      <c r="AM210" s="44" t="s">
        <v>28</v>
      </c>
      <c r="AN210" s="226" t="str">
        <f>CONCATENATE("1 + (",AB210," - 1) x ",AH210," / ",D213)</f>
        <v>1 + (1,1 - 1) x 60 / 107</v>
      </c>
      <c r="AO210" s="226"/>
      <c r="AP210" s="226"/>
      <c r="AQ210" s="226"/>
      <c r="AR210" s="226"/>
      <c r="AS210" s="226"/>
      <c r="AT210" s="226"/>
      <c r="AU210" s="226"/>
      <c r="AV210" s="226"/>
      <c r="AW210" s="226"/>
      <c r="AX210" s="226"/>
      <c r="AY210" s="226"/>
      <c r="AZ210" s="110" t="s">
        <v>28</v>
      </c>
      <c r="BA210" s="284">
        <f>ROUND(1 + (AB210 - 1) *(AH210 / D213),2)</f>
        <v>1.06</v>
      </c>
      <c r="BB210" s="285"/>
      <c r="BC210" s="285"/>
      <c r="BD210" s="285"/>
      <c r="BE210" s="285"/>
      <c r="BF210" s="100"/>
      <c r="BG210" s="100"/>
      <c r="BH210" s="101"/>
      <c r="BI210" s="87"/>
      <c r="BJ210" s="87"/>
      <c r="BK210" s="87"/>
      <c r="BL210" s="87"/>
      <c r="BP210" s="87"/>
      <c r="BQ210" s="87"/>
      <c r="BR210" s="87"/>
      <c r="BS210" s="87"/>
      <c r="BT210" s="87"/>
      <c r="BU210" s="87"/>
      <c r="BV210" s="87"/>
      <c r="BW210" s="87"/>
      <c r="BX210" s="87"/>
      <c r="BY210" s="87"/>
      <c r="BZ210" s="87"/>
      <c r="CA210" s="87"/>
      <c r="CB210" s="87"/>
      <c r="CC210" s="87"/>
      <c r="CD210" s="87"/>
      <c r="CE210" s="87"/>
      <c r="CF210" s="87"/>
      <c r="CG210" s="87"/>
      <c r="CH210" s="87"/>
      <c r="CI210" s="87"/>
      <c r="CJ210" s="87"/>
      <c r="CK210" s="87"/>
      <c r="CL210" s="87"/>
      <c r="CM210" s="87"/>
      <c r="CN210" s="87"/>
      <c r="CO210" s="87"/>
      <c r="CP210" s="87"/>
      <c r="CQ210" s="87"/>
      <c r="CR210" s="87"/>
      <c r="CS210" s="87"/>
      <c r="CT210" s="87"/>
      <c r="CU210" s="87"/>
      <c r="CV210" s="87"/>
      <c r="CW210" s="87"/>
      <c r="CX210" s="87"/>
      <c r="CY210" s="87"/>
      <c r="CZ210" s="87"/>
      <c r="DA210" s="87"/>
      <c r="DB210" s="119"/>
    </row>
    <row r="211" spans="1:106" s="88" customFormat="1" ht="12" customHeight="1">
      <c r="A211" s="286" t="s">
        <v>228</v>
      </c>
      <c r="B211" s="287"/>
      <c r="C211" s="287"/>
      <c r="D211" s="287"/>
      <c r="E211" s="287"/>
      <c r="F211" s="287"/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8"/>
      <c r="X211" s="208" t="s">
        <v>183</v>
      </c>
      <c r="Y211" s="209"/>
      <c r="Z211" s="209"/>
      <c r="AA211" s="44" t="s">
        <v>28</v>
      </c>
      <c r="AB211" s="276">
        <v>1.2</v>
      </c>
      <c r="AC211" s="276"/>
      <c r="AD211" s="276"/>
      <c r="AE211" s="258" t="s">
        <v>184</v>
      </c>
      <c r="AF211" s="258"/>
      <c r="AG211" s="98" t="s">
        <v>28</v>
      </c>
      <c r="AH211" s="407">
        <v>100</v>
      </c>
      <c r="AI211" s="407"/>
      <c r="AJ211" s="407"/>
      <c r="AK211" s="248" t="s">
        <v>189</v>
      </c>
      <c r="AL211" s="248"/>
      <c r="AM211" s="44" t="s">
        <v>28</v>
      </c>
      <c r="AN211" s="226" t="str">
        <f>CONCATENATE("1 + (1 - ",AB211,") x ",AH211," / ",D213)</f>
        <v>1 + (1 - 1,2) x 100 / 107</v>
      </c>
      <c r="AO211" s="226"/>
      <c r="AP211" s="226"/>
      <c r="AQ211" s="226"/>
      <c r="AR211" s="226"/>
      <c r="AS211" s="226"/>
      <c r="AT211" s="226"/>
      <c r="AU211" s="226"/>
      <c r="AV211" s="226"/>
      <c r="AW211" s="226"/>
      <c r="AX211" s="226"/>
      <c r="AY211" s="226"/>
      <c r="AZ211" s="110" t="s">
        <v>28</v>
      </c>
      <c r="BA211" s="284">
        <f>ROUND(1 + (AB211 - 1) *(AH211 / D213),2)</f>
        <v>1.19</v>
      </c>
      <c r="BB211" s="285"/>
      <c r="BC211" s="285"/>
      <c r="BD211" s="285"/>
      <c r="BE211" s="285"/>
      <c r="BF211" s="100"/>
      <c r="BG211" s="100"/>
      <c r="BH211" s="101"/>
      <c r="BI211" s="87"/>
      <c r="BJ211" s="151">
        <f>(1+(BA210-1)+(BA211-1))</f>
        <v>1.25</v>
      </c>
      <c r="BK211" s="87"/>
      <c r="BL211" s="87"/>
      <c r="BP211" s="87"/>
      <c r="BQ211" s="87"/>
      <c r="BR211" s="87"/>
      <c r="BS211" s="87"/>
      <c r="BT211" s="87"/>
      <c r="BU211" s="87"/>
      <c r="BV211" s="87"/>
      <c r="BW211" s="87"/>
      <c r="BX211" s="87"/>
      <c r="BY211" s="87"/>
      <c r="BZ211" s="87"/>
      <c r="CA211" s="87"/>
      <c r="CB211" s="87"/>
      <c r="CC211" s="87"/>
      <c r="CD211" s="87"/>
      <c r="CE211" s="87"/>
      <c r="CF211" s="87"/>
      <c r="CG211" s="87"/>
      <c r="CH211" s="87"/>
      <c r="CI211" s="87"/>
      <c r="CJ211" s="87"/>
      <c r="CK211" s="87"/>
      <c r="CL211" s="87"/>
      <c r="CM211" s="87"/>
      <c r="CN211" s="87"/>
      <c r="CO211" s="87"/>
      <c r="CP211" s="87"/>
      <c r="CQ211" s="87"/>
      <c r="CR211" s="87"/>
      <c r="CS211" s="87"/>
      <c r="CT211" s="87"/>
      <c r="CU211" s="87"/>
      <c r="CV211" s="87"/>
      <c r="CW211" s="87"/>
      <c r="CX211" s="87"/>
      <c r="CY211" s="87"/>
      <c r="CZ211" s="87"/>
      <c r="DA211" s="87"/>
      <c r="DB211" s="119"/>
    </row>
    <row r="212" spans="1:106" s="88" customFormat="1" ht="12" customHeight="1">
      <c r="A212" s="129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1"/>
      <c r="X212" s="224" t="s">
        <v>190</v>
      </c>
      <c r="Y212" s="225"/>
      <c r="Z212" s="225"/>
      <c r="AA212" s="94" t="s">
        <v>28</v>
      </c>
      <c r="AB212" s="226" t="str">
        <f>CONCATENATE(BA209," x [1 + (",BA210," - 1) + (",BA211," - 1)] = ",BA209," x ",BJ211," = ")</f>
        <v xml:space="preserve">0,62 x [1 + (1,06 - 1) + (1,19 - 1)] = 0,62 x 1,25 = </v>
      </c>
      <c r="AC212" s="226"/>
      <c r="AD212" s="226"/>
      <c r="AE212" s="226"/>
      <c r="AF212" s="226"/>
      <c r="AG212" s="226"/>
      <c r="AH212" s="226"/>
      <c r="AI212" s="226"/>
      <c r="AJ212" s="226"/>
      <c r="AK212" s="226"/>
      <c r="AL212" s="226"/>
      <c r="AM212" s="226"/>
      <c r="AN212" s="226"/>
      <c r="AO212" s="226"/>
      <c r="AP212" s="226"/>
      <c r="AQ212" s="226"/>
      <c r="AR212" s="226"/>
      <c r="AS212" s="226"/>
      <c r="AT212" s="226"/>
      <c r="AU212" s="226"/>
      <c r="AV212" s="226"/>
      <c r="AW212" s="226"/>
      <c r="AX212" s="226"/>
      <c r="AY212" s="226"/>
      <c r="AZ212" s="227"/>
      <c r="BA212" s="210">
        <f>ROUND(BA209*BJ211,2)</f>
        <v>0.78</v>
      </c>
      <c r="BB212" s="211"/>
      <c r="BC212" s="211"/>
      <c r="BD212" s="211"/>
      <c r="BE212" s="211"/>
      <c r="BF212" s="212" t="s">
        <v>163</v>
      </c>
      <c r="BG212" s="212"/>
      <c r="BH212" s="213"/>
      <c r="BI212" s="87"/>
      <c r="BJ212" s="144"/>
      <c r="BK212" s="87"/>
      <c r="BL212" s="87"/>
      <c r="BM212" s="87"/>
      <c r="BN212" s="87"/>
      <c r="BO212" s="87"/>
      <c r="BP212" s="87"/>
      <c r="BQ212" s="87"/>
      <c r="BR212" s="87"/>
      <c r="BS212" s="87"/>
      <c r="BT212" s="87"/>
      <c r="BU212" s="87"/>
      <c r="BV212" s="87"/>
      <c r="BW212" s="87"/>
      <c r="BX212" s="87"/>
      <c r="BY212" s="87"/>
      <c r="BZ212" s="87"/>
      <c r="CA212" s="87"/>
      <c r="CB212" s="87"/>
      <c r="CC212" s="87"/>
      <c r="CD212" s="87"/>
      <c r="CE212" s="87"/>
      <c r="CF212" s="87"/>
      <c r="CG212" s="87"/>
      <c r="CH212" s="87"/>
      <c r="CI212" s="87"/>
      <c r="CJ212" s="87"/>
      <c r="CK212" s="87"/>
      <c r="CL212" s="87"/>
      <c r="CM212" s="87"/>
      <c r="CN212" s="87"/>
      <c r="CO212" s="87"/>
      <c r="CP212" s="87"/>
      <c r="CQ212" s="87"/>
      <c r="CR212" s="87"/>
      <c r="CS212" s="87"/>
      <c r="CT212" s="87"/>
      <c r="CU212" s="87"/>
      <c r="CV212" s="87"/>
      <c r="CW212" s="87"/>
      <c r="CX212" s="87"/>
      <c r="CY212" s="87"/>
      <c r="CZ212" s="87"/>
      <c r="DA212" s="87"/>
      <c r="DB212" s="119"/>
    </row>
    <row r="213" spans="1:106" s="88" customFormat="1" ht="12" customHeight="1">
      <c r="A213" s="214" t="s">
        <v>170</v>
      </c>
      <c r="B213" s="215"/>
      <c r="C213" s="113" t="s">
        <v>28</v>
      </c>
      <c r="D213" s="216">
        <v>107</v>
      </c>
      <c r="E213" s="216"/>
      <c r="F213" s="216"/>
      <c r="G213" s="216"/>
      <c r="H213" s="216"/>
      <c r="I213" s="218" t="s">
        <v>235</v>
      </c>
      <c r="J213" s="218"/>
      <c r="K213" s="218"/>
      <c r="L213" s="218"/>
      <c r="M213" s="218"/>
      <c r="N213" s="218"/>
      <c r="O213" s="120"/>
      <c r="P213" s="120"/>
      <c r="Q213" s="120"/>
      <c r="R213" s="215"/>
      <c r="S213" s="215"/>
      <c r="T213" s="113"/>
      <c r="U213" s="217"/>
      <c r="V213" s="218"/>
      <c r="W213" s="219"/>
      <c r="X213" s="220" t="s">
        <v>162</v>
      </c>
      <c r="Y213" s="221"/>
      <c r="Z213" s="221"/>
      <c r="AA213" s="97" t="s">
        <v>28</v>
      </c>
      <c r="AB213" s="222" t="str">
        <f ca="1">CONCATENATE(BA212," x ",$AO$17," x ", AP206," x [1 + 0,5 x (",AW206," - 1)]  = ")</f>
        <v xml:space="preserve">0,78 x 307,7 x 1,0171 x [1 + 0,5 x (1,1404 - 1)]  = </v>
      </c>
      <c r="AC213" s="222"/>
      <c r="AD213" s="222"/>
      <c r="AE213" s="222"/>
      <c r="AF213" s="222"/>
      <c r="AG213" s="222"/>
      <c r="AH213" s="222"/>
      <c r="AI213" s="222"/>
      <c r="AJ213" s="222"/>
      <c r="AK213" s="222"/>
      <c r="AL213" s="222"/>
      <c r="AM213" s="222"/>
      <c r="AN213" s="222"/>
      <c r="AO213" s="222"/>
      <c r="AP213" s="222"/>
      <c r="AQ213" s="222"/>
      <c r="AR213" s="222"/>
      <c r="AS213" s="222"/>
      <c r="AT213" s="222"/>
      <c r="AU213" s="222"/>
      <c r="AV213" s="222"/>
      <c r="AW213" s="222"/>
      <c r="AX213" s="222"/>
      <c r="AY213" s="222"/>
      <c r="AZ213" s="223"/>
      <c r="BA213" s="268">
        <f ca="1">ROUND(BA212*$AO$17*AP206*(1+0.5*(AW206-1)),2)</f>
        <v>261.25</v>
      </c>
      <c r="BB213" s="269"/>
      <c r="BC213" s="269"/>
      <c r="BD213" s="269"/>
      <c r="BE213" s="269"/>
      <c r="BF213" s="270" t="s">
        <v>23</v>
      </c>
      <c r="BG213" s="270"/>
      <c r="BH213" s="271"/>
      <c r="BI213" s="87"/>
      <c r="BJ213" s="87"/>
      <c r="BK213" s="87"/>
      <c r="BL213" s="87"/>
      <c r="BM213" s="87"/>
      <c r="BN213" s="87"/>
      <c r="BO213" s="87"/>
      <c r="BP213" s="87"/>
      <c r="BQ213" s="87"/>
      <c r="BR213" s="87"/>
      <c r="BS213" s="87"/>
      <c r="BT213" s="87"/>
      <c r="BU213" s="87"/>
      <c r="BV213" s="87"/>
      <c r="BW213" s="87"/>
      <c r="BX213" s="87"/>
      <c r="BY213" s="87"/>
      <c r="BZ213" s="87"/>
      <c r="CA213" s="87"/>
      <c r="CB213" s="87"/>
      <c r="CC213" s="87"/>
      <c r="CD213" s="87"/>
      <c r="CE213" s="87"/>
      <c r="CF213" s="87"/>
      <c r="CG213" s="87"/>
      <c r="CH213" s="87"/>
      <c r="CI213" s="87"/>
      <c r="CJ213" s="87"/>
      <c r="CK213" s="87"/>
      <c r="CL213" s="87"/>
      <c r="CM213" s="87"/>
      <c r="CN213" s="87"/>
      <c r="CO213" s="87"/>
      <c r="CP213" s="87"/>
      <c r="CQ213" s="87"/>
      <c r="CR213" s="87"/>
      <c r="CS213" s="87"/>
      <c r="CT213" s="87"/>
      <c r="CU213" s="87"/>
      <c r="CV213" s="87"/>
      <c r="CW213" s="87"/>
      <c r="CX213" s="87"/>
      <c r="CY213" s="87"/>
      <c r="CZ213" s="87"/>
      <c r="DA213" s="87"/>
      <c r="DB213" s="119"/>
    </row>
    <row r="214" spans="1:106" s="88" customFormat="1" ht="12" customHeight="1">
      <c r="A214" s="241" t="s">
        <v>240</v>
      </c>
      <c r="B214" s="242"/>
      <c r="C214" s="242"/>
      <c r="D214" s="242"/>
      <c r="E214" s="242"/>
      <c r="F214" s="242"/>
      <c r="G214" s="242"/>
      <c r="H214" s="242"/>
      <c r="I214" s="242"/>
      <c r="J214" s="242"/>
      <c r="K214" s="242"/>
      <c r="L214" s="242"/>
      <c r="M214" s="242"/>
      <c r="N214" s="242"/>
      <c r="O214" s="242"/>
      <c r="P214" s="242"/>
      <c r="Q214" s="242"/>
      <c r="R214" s="242"/>
      <c r="S214" s="242"/>
      <c r="T214" s="242"/>
      <c r="U214" s="242"/>
      <c r="V214" s="242"/>
      <c r="W214" s="243"/>
      <c r="X214" s="244" t="s">
        <v>45</v>
      </c>
      <c r="Y214" s="245"/>
      <c r="Z214" s="245"/>
      <c r="AA214" s="245"/>
      <c r="AB214" s="253">
        <f ca="1">график!C33</f>
        <v>45170</v>
      </c>
      <c r="AC214" s="246"/>
      <c r="AD214" s="246"/>
      <c r="AE214" s="246"/>
      <c r="AF214" s="246"/>
      <c r="AG214" s="93" t="s">
        <v>1</v>
      </c>
      <c r="AH214" s="254">
        <f ca="1">график!E33</f>
        <v>45658</v>
      </c>
      <c r="AI214" s="247"/>
      <c r="AJ214" s="247"/>
      <c r="AK214" s="247"/>
      <c r="AL214" s="247"/>
      <c r="AM214" s="255" t="s">
        <v>158</v>
      </c>
      <c r="AN214" s="255"/>
      <c r="AO214" s="91" t="s">
        <v>28</v>
      </c>
      <c r="AP214" s="256">
        <f ca="1">график!F33</f>
        <v>1.0170999999999999</v>
      </c>
      <c r="AQ214" s="256"/>
      <c r="AR214" s="256"/>
      <c r="AS214" s="256"/>
      <c r="AT214" s="255" t="s">
        <v>159</v>
      </c>
      <c r="AU214" s="255"/>
      <c r="AV214" s="91" t="s">
        <v>28</v>
      </c>
      <c r="AW214" s="228">
        <f ca="1">график!G33</f>
        <v>1.1404000000000001</v>
      </c>
      <c r="AX214" s="228"/>
      <c r="AY214" s="228"/>
      <c r="AZ214" s="229"/>
      <c r="BA214" s="230"/>
      <c r="BB214" s="231"/>
      <c r="BC214" s="231"/>
      <c r="BD214" s="231"/>
      <c r="BE214" s="231"/>
      <c r="BF214" s="231"/>
      <c r="BG214" s="231"/>
      <c r="BH214" s="232"/>
      <c r="BI214" s="87"/>
      <c r="BJ214" s="87"/>
      <c r="BK214" s="87"/>
      <c r="BL214" s="87"/>
      <c r="BM214" s="87"/>
      <c r="BN214" s="87"/>
      <c r="BO214" s="87"/>
      <c r="BP214" s="87"/>
      <c r="BQ214" s="87"/>
      <c r="BR214" s="87"/>
      <c r="BS214" s="87"/>
      <c r="BT214" s="87"/>
      <c r="BU214" s="87"/>
      <c r="BV214" s="87"/>
      <c r="BW214" s="87"/>
      <c r="BX214" s="87"/>
      <c r="BY214" s="87"/>
      <c r="BZ214" s="87"/>
      <c r="CA214" s="87"/>
      <c r="CB214" s="87"/>
      <c r="CC214" s="87"/>
      <c r="CD214" s="87"/>
      <c r="CE214" s="87"/>
      <c r="CF214" s="87"/>
      <c r="CG214" s="87"/>
      <c r="CH214" s="87"/>
      <c r="CI214" s="87"/>
      <c r="CJ214" s="87"/>
      <c r="CK214" s="87"/>
      <c r="CL214" s="87"/>
      <c r="CM214" s="87"/>
      <c r="CN214" s="87"/>
      <c r="CO214" s="87"/>
      <c r="CP214" s="87"/>
      <c r="CQ214" s="87"/>
      <c r="CR214" s="87"/>
      <c r="CS214" s="87"/>
      <c r="CT214" s="87"/>
      <c r="CU214" s="87"/>
      <c r="CV214" s="87"/>
      <c r="CW214" s="87"/>
      <c r="CX214" s="87"/>
      <c r="CY214" s="87"/>
      <c r="CZ214" s="87"/>
      <c r="DA214" s="87"/>
      <c r="DB214" s="119"/>
    </row>
    <row r="215" spans="1:106" s="88" customFormat="1" ht="12" customHeight="1">
      <c r="A215" s="273" t="s">
        <v>232</v>
      </c>
      <c r="B215" s="274"/>
      <c r="C215" s="274"/>
      <c r="D215" s="274"/>
      <c r="E215" s="274"/>
      <c r="F215" s="274"/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5"/>
      <c r="X215" s="208" t="s">
        <v>39</v>
      </c>
      <c r="Y215" s="209"/>
      <c r="Z215" s="209"/>
      <c r="AA215" s="44" t="s">
        <v>28</v>
      </c>
      <c r="AB215" s="276">
        <v>0.5</v>
      </c>
      <c r="AC215" s="276"/>
      <c r="AD215" s="276"/>
      <c r="AE215" s="276"/>
      <c r="AF215" s="248" t="s">
        <v>40</v>
      </c>
      <c r="AG215" s="209"/>
      <c r="AH215" s="209"/>
      <c r="AI215" s="209"/>
      <c r="AJ215" s="209"/>
      <c r="AK215" s="44" t="s">
        <v>28</v>
      </c>
      <c r="AL215" s="289">
        <v>2</v>
      </c>
      <c r="AM215" s="290"/>
      <c r="AN215" s="290"/>
      <c r="AO215" s="290"/>
      <c r="AP215" s="290"/>
      <c r="AQ215" s="258"/>
      <c r="AR215" s="258"/>
      <c r="AS215" s="272"/>
      <c r="AT215" s="272"/>
      <c r="AU215" s="272"/>
      <c r="AV215" s="98"/>
      <c r="AW215" s="263"/>
      <c r="AX215" s="226"/>
      <c r="AY215" s="226"/>
      <c r="AZ215" s="227"/>
      <c r="BA215" s="210"/>
      <c r="BB215" s="211"/>
      <c r="BC215" s="211"/>
      <c r="BD215" s="211"/>
      <c r="BE215" s="211"/>
      <c r="BF215" s="212"/>
      <c r="BG215" s="212"/>
      <c r="BH215" s="213"/>
      <c r="BI215" s="87"/>
      <c r="BJ215" s="87"/>
      <c r="BK215" s="87"/>
      <c r="BL215" s="87"/>
      <c r="BM215" s="87"/>
      <c r="BN215" s="87"/>
      <c r="BO215" s="87"/>
      <c r="BP215" s="87"/>
      <c r="BQ215" s="87"/>
      <c r="BR215" s="87"/>
      <c r="BS215" s="87"/>
      <c r="BT215" s="87"/>
      <c r="BU215" s="87"/>
      <c r="BV215" s="87"/>
      <c r="BW215" s="87"/>
      <c r="BX215" s="87"/>
      <c r="BY215" s="87"/>
      <c r="BZ215" s="87"/>
      <c r="CA215" s="87"/>
      <c r="CB215" s="87"/>
      <c r="CC215" s="87"/>
      <c r="CD215" s="87"/>
      <c r="CE215" s="87"/>
      <c r="CF215" s="87"/>
      <c r="CG215" s="87"/>
      <c r="CH215" s="87"/>
      <c r="CI215" s="87"/>
      <c r="CJ215" s="87"/>
      <c r="CK215" s="87"/>
      <c r="CL215" s="87"/>
      <c r="CM215" s="87"/>
      <c r="CN215" s="87"/>
      <c r="CO215" s="87"/>
      <c r="CP215" s="87"/>
      <c r="CQ215" s="87"/>
      <c r="CR215" s="87"/>
      <c r="CS215" s="87"/>
      <c r="CT215" s="87"/>
      <c r="CU215" s="87"/>
      <c r="CV215" s="87"/>
      <c r="CW215" s="87"/>
      <c r="CX215" s="87"/>
      <c r="CY215" s="87"/>
      <c r="CZ215" s="87"/>
      <c r="DA215" s="87"/>
      <c r="DB215" s="119"/>
    </row>
    <row r="216" spans="1:106" s="88" customFormat="1" ht="12" customHeight="1">
      <c r="A216" s="273"/>
      <c r="B216" s="274"/>
      <c r="C216" s="274"/>
      <c r="D216" s="274"/>
      <c r="E216" s="274"/>
      <c r="F216" s="274"/>
      <c r="G216" s="274"/>
      <c r="H216" s="274"/>
      <c r="I216" s="274"/>
      <c r="J216" s="274"/>
      <c r="K216" s="274"/>
      <c r="L216" s="274"/>
      <c r="M216" s="274"/>
      <c r="N216" s="274"/>
      <c r="O216" s="274"/>
      <c r="P216" s="274"/>
      <c r="Q216" s="274"/>
      <c r="R216" s="274"/>
      <c r="S216" s="274"/>
      <c r="T216" s="274"/>
      <c r="U216" s="274"/>
      <c r="V216" s="274"/>
      <c r="W216" s="275"/>
      <c r="X216" s="208" t="s">
        <v>43</v>
      </c>
      <c r="Y216" s="209"/>
      <c r="Z216" s="209"/>
      <c r="AA216" s="44" t="s">
        <v>28</v>
      </c>
      <c r="AB216" s="226">
        <v>1</v>
      </c>
      <c r="AC216" s="226"/>
      <c r="AD216" s="226"/>
      <c r="AE216" s="226"/>
      <c r="AF216" s="248" t="s">
        <v>44</v>
      </c>
      <c r="AG216" s="209"/>
      <c r="AH216" s="209"/>
      <c r="AI216" s="209"/>
      <c r="AJ216" s="209"/>
      <c r="AK216" s="44" t="s">
        <v>28</v>
      </c>
      <c r="AL216" s="289">
        <v>3.7</v>
      </c>
      <c r="AM216" s="290"/>
      <c r="AN216" s="290"/>
      <c r="AO216" s="290"/>
      <c r="AP216" s="290"/>
      <c r="AQ216" s="108"/>
      <c r="AR216" s="108"/>
      <c r="AS216" s="108"/>
      <c r="AT216" s="108"/>
      <c r="AU216" s="108"/>
      <c r="AV216" s="108"/>
      <c r="AW216" s="108"/>
      <c r="AX216" s="108"/>
      <c r="AY216" s="108"/>
      <c r="AZ216" s="135"/>
      <c r="BA216" s="210"/>
      <c r="BB216" s="211"/>
      <c r="BC216" s="211"/>
      <c r="BD216" s="211"/>
      <c r="BE216" s="211"/>
      <c r="BF216" s="212"/>
      <c r="BG216" s="212"/>
      <c r="BH216" s="213"/>
      <c r="BI216" s="87"/>
      <c r="BJ216" s="87"/>
      <c r="BK216" s="87"/>
      <c r="BL216" s="87"/>
      <c r="BM216" s="87"/>
      <c r="BN216" s="87"/>
      <c r="BO216" s="87"/>
      <c r="BP216" s="87"/>
      <c r="BQ216" s="87"/>
      <c r="BR216" s="87"/>
      <c r="BS216" s="87"/>
      <c r="BT216" s="87"/>
      <c r="BU216" s="87"/>
      <c r="BV216" s="87"/>
      <c r="BW216" s="87"/>
      <c r="BX216" s="87"/>
      <c r="BY216" s="87"/>
      <c r="BZ216" s="87"/>
      <c r="CA216" s="87"/>
      <c r="CB216" s="87"/>
      <c r="CC216" s="87"/>
      <c r="CD216" s="87"/>
      <c r="CE216" s="87"/>
      <c r="CF216" s="87"/>
      <c r="CG216" s="87"/>
      <c r="CH216" s="87"/>
      <c r="CI216" s="87"/>
      <c r="CJ216" s="87"/>
      <c r="CK216" s="87"/>
      <c r="CL216" s="87"/>
      <c r="CM216" s="87"/>
      <c r="CN216" s="87"/>
      <c r="CO216" s="87"/>
      <c r="CP216" s="87"/>
      <c r="CQ216" s="87"/>
      <c r="CR216" s="87"/>
      <c r="CS216" s="87"/>
      <c r="CT216" s="87"/>
      <c r="CU216" s="87"/>
      <c r="CV216" s="87"/>
      <c r="CW216" s="87"/>
      <c r="CX216" s="87"/>
      <c r="CY216" s="87"/>
      <c r="CZ216" s="87"/>
      <c r="DA216" s="87"/>
      <c r="DB216" s="119"/>
    </row>
    <row r="217" spans="1:106" s="88" customFormat="1" ht="12" customHeight="1">
      <c r="A217" s="273"/>
      <c r="B217" s="274"/>
      <c r="C217" s="274"/>
      <c r="D217" s="274"/>
      <c r="E217" s="274"/>
      <c r="F217" s="274"/>
      <c r="G217" s="274"/>
      <c r="H217" s="274"/>
      <c r="I217" s="274"/>
      <c r="J217" s="274"/>
      <c r="K217" s="274"/>
      <c r="L217" s="274"/>
      <c r="M217" s="274"/>
      <c r="N217" s="274"/>
      <c r="O217" s="274"/>
      <c r="P217" s="274"/>
      <c r="Q217" s="274"/>
      <c r="R217" s="274"/>
      <c r="S217" s="274"/>
      <c r="T217" s="274"/>
      <c r="U217" s="274"/>
      <c r="V217" s="274"/>
      <c r="W217" s="275"/>
      <c r="X217" s="224" t="s">
        <v>22</v>
      </c>
      <c r="Y217" s="225"/>
      <c r="Z217" s="225"/>
      <c r="AA217" s="94" t="s">
        <v>28</v>
      </c>
      <c r="AB217" s="226" t="str">
        <f>CONCATENATE(AL215," + [(",AL216," - ", AL215,") / (",AB216," - ", AB215,")] x (",D218," - ",AB215,")  = ")</f>
        <v xml:space="preserve">2 + [(3,7 - 2) / (1 - 0,5)] x (0,79 - 0,5)  = </v>
      </c>
      <c r="AC217" s="226"/>
      <c r="AD217" s="226"/>
      <c r="AE217" s="226"/>
      <c r="AF217" s="226"/>
      <c r="AG217" s="226"/>
      <c r="AH217" s="226"/>
      <c r="AI217" s="226"/>
      <c r="AJ217" s="226"/>
      <c r="AK217" s="226"/>
      <c r="AL217" s="226"/>
      <c r="AM217" s="226"/>
      <c r="AN217" s="226"/>
      <c r="AO217" s="226"/>
      <c r="AP217" s="226"/>
      <c r="AQ217" s="226"/>
      <c r="AR217" s="226"/>
      <c r="AS217" s="226"/>
      <c r="AT217" s="226"/>
      <c r="AU217" s="226"/>
      <c r="AV217" s="226"/>
      <c r="AW217" s="226"/>
      <c r="AX217" s="226"/>
      <c r="AY217" s="226"/>
      <c r="AZ217" s="227"/>
      <c r="BA217" s="210">
        <f>ROUND(AL215 + ((AL216-AL215) / (AB216-AB215)) * (D218-AB215),2)</f>
        <v>2.99</v>
      </c>
      <c r="BB217" s="211"/>
      <c r="BC217" s="211"/>
      <c r="BD217" s="211"/>
      <c r="BE217" s="211"/>
      <c r="BF217" s="212" t="s">
        <v>163</v>
      </c>
      <c r="BG217" s="212"/>
      <c r="BH217" s="213"/>
      <c r="BI217" s="87"/>
      <c r="BJ217" s="144" t="s">
        <v>171</v>
      </c>
      <c r="BK217" s="87"/>
      <c r="BL217" s="87"/>
      <c r="BM217" s="87"/>
      <c r="BN217" s="87"/>
      <c r="BO217" s="87"/>
      <c r="BP217" s="87"/>
      <c r="BQ217" s="87"/>
      <c r="BR217" s="87"/>
      <c r="BS217" s="87"/>
      <c r="BT217" s="87"/>
      <c r="BU217" s="87"/>
      <c r="BV217" s="87"/>
      <c r="BW217" s="87"/>
      <c r="BX217" s="87"/>
      <c r="BY217" s="87"/>
      <c r="BZ217" s="87"/>
      <c r="CA217" s="87"/>
      <c r="CB217" s="87"/>
      <c r="CC217" s="87"/>
      <c r="CD217" s="87"/>
      <c r="CE217" s="87"/>
      <c r="CF217" s="87"/>
      <c r="CG217" s="87"/>
      <c r="CH217" s="87"/>
      <c r="CI217" s="87"/>
      <c r="CJ217" s="87"/>
      <c r="CK217" s="87"/>
      <c r="CL217" s="87"/>
      <c r="CM217" s="87"/>
      <c r="CN217" s="87"/>
      <c r="CO217" s="87"/>
      <c r="CP217" s="87"/>
      <c r="CQ217" s="87"/>
      <c r="CR217" s="87"/>
      <c r="CS217" s="87"/>
      <c r="CT217" s="87"/>
      <c r="CU217" s="87"/>
      <c r="CV217" s="87"/>
      <c r="CW217" s="87"/>
      <c r="CX217" s="87"/>
      <c r="CY217" s="87"/>
      <c r="CZ217" s="87"/>
      <c r="DA217" s="87"/>
      <c r="DB217" s="119"/>
    </row>
    <row r="218" spans="1:106" s="88" customFormat="1" ht="12" customHeight="1">
      <c r="A218" s="214" t="s">
        <v>170</v>
      </c>
      <c r="B218" s="215"/>
      <c r="C218" s="113" t="s">
        <v>28</v>
      </c>
      <c r="D218" s="305">
        <v>0.79</v>
      </c>
      <c r="E218" s="305"/>
      <c r="F218" s="305"/>
      <c r="G218" s="305"/>
      <c r="H218" s="305"/>
      <c r="I218" s="218" t="s">
        <v>236</v>
      </c>
      <c r="J218" s="218"/>
      <c r="K218" s="218"/>
      <c r="L218" s="218"/>
      <c r="M218" s="218"/>
      <c r="N218" s="218"/>
      <c r="O218" s="120"/>
      <c r="P218" s="120"/>
      <c r="Q218" s="120"/>
      <c r="R218" s="215"/>
      <c r="S218" s="215"/>
      <c r="T218" s="113"/>
      <c r="U218" s="217"/>
      <c r="V218" s="218"/>
      <c r="W218" s="219"/>
      <c r="X218" s="220" t="s">
        <v>162</v>
      </c>
      <c r="Y218" s="221"/>
      <c r="Z218" s="221"/>
      <c r="AA218" s="97" t="s">
        <v>28</v>
      </c>
      <c r="AB218" s="222" t="str">
        <f ca="1">CONCATENATE(BA217," x ",$AO$17," x ", AP214," x [1 + 0,5 x (",AW214," - 1)]  = ")</f>
        <v xml:space="preserve">2,99 x 307,7 x 1,0171 x [1 + 0,5 x (1,1404 - 1)]  = </v>
      </c>
      <c r="AC218" s="222"/>
      <c r="AD218" s="222"/>
      <c r="AE218" s="222"/>
      <c r="AF218" s="222"/>
      <c r="AG218" s="222"/>
      <c r="AH218" s="222"/>
      <c r="AI218" s="222"/>
      <c r="AJ218" s="222"/>
      <c r="AK218" s="222"/>
      <c r="AL218" s="222"/>
      <c r="AM218" s="222"/>
      <c r="AN218" s="222"/>
      <c r="AO218" s="222"/>
      <c r="AP218" s="222"/>
      <c r="AQ218" s="222"/>
      <c r="AR218" s="222"/>
      <c r="AS218" s="222"/>
      <c r="AT218" s="222"/>
      <c r="AU218" s="222"/>
      <c r="AV218" s="222"/>
      <c r="AW218" s="222"/>
      <c r="AX218" s="222"/>
      <c r="AY218" s="222"/>
      <c r="AZ218" s="223"/>
      <c r="BA218" s="268">
        <f ca="1">ROUND(BA217*$AO$17*AP214*(1+0.5*(AW214-1)),2)</f>
        <v>1001.45</v>
      </c>
      <c r="BB218" s="269"/>
      <c r="BC218" s="269"/>
      <c r="BD218" s="269"/>
      <c r="BE218" s="269"/>
      <c r="BF218" s="270" t="s">
        <v>23</v>
      </c>
      <c r="BG218" s="270"/>
      <c r="BH218" s="271"/>
      <c r="BI218" s="87"/>
      <c r="BJ218" s="87"/>
      <c r="BK218" s="87"/>
      <c r="BL218" s="87"/>
      <c r="BM218" s="87"/>
      <c r="BN218" s="87"/>
      <c r="BO218" s="87"/>
      <c r="BP218" s="87"/>
      <c r="BQ218" s="87"/>
      <c r="BR218" s="87"/>
      <c r="BS218" s="87"/>
      <c r="BT218" s="87"/>
      <c r="BU218" s="87"/>
      <c r="BV218" s="87"/>
      <c r="BW218" s="87"/>
      <c r="BX218" s="87"/>
      <c r="BY218" s="87"/>
      <c r="BZ218" s="87"/>
      <c r="CA218" s="87"/>
      <c r="CB218" s="87"/>
      <c r="CC218" s="87"/>
      <c r="CD218" s="87"/>
      <c r="CE218" s="87"/>
      <c r="CF218" s="87"/>
      <c r="CG218" s="87"/>
      <c r="CH218" s="87"/>
      <c r="CI218" s="87"/>
      <c r="CJ218" s="87"/>
      <c r="CK218" s="87"/>
      <c r="CL218" s="87"/>
      <c r="CM218" s="87"/>
      <c r="CN218" s="87"/>
      <c r="CO218" s="87"/>
      <c r="CP218" s="87"/>
      <c r="CQ218" s="87"/>
      <c r="CR218" s="87"/>
      <c r="CS218" s="87"/>
      <c r="CT218" s="87"/>
      <c r="CU218" s="87"/>
      <c r="CV218" s="87"/>
      <c r="CW218" s="87"/>
      <c r="CX218" s="87"/>
      <c r="CY218" s="87"/>
      <c r="CZ218" s="87"/>
      <c r="DA218" s="87"/>
      <c r="DB218" s="119"/>
    </row>
    <row r="219" spans="1:106" ht="12" customHeight="1">
      <c r="A219" s="103" t="s">
        <v>220</v>
      </c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5"/>
      <c r="AL219" s="105"/>
      <c r="AM219" s="105"/>
      <c r="AN219" s="105"/>
      <c r="AO219" s="105"/>
      <c r="AP219" s="105"/>
      <c r="AQ219" s="106"/>
      <c r="AR219" s="107"/>
      <c r="AS219" s="106"/>
      <c r="AT219" s="106"/>
      <c r="AU219" s="106"/>
      <c r="AV219" s="106"/>
      <c r="AW219" s="291" t="s">
        <v>22</v>
      </c>
      <c r="AX219" s="291"/>
      <c r="AY219" s="291"/>
      <c r="AZ219" s="156" t="s">
        <v>28</v>
      </c>
      <c r="BA219" s="292">
        <f>BA204+BA212+BA217</f>
        <v>39.130000000000003</v>
      </c>
      <c r="BB219" s="292"/>
      <c r="BC219" s="292"/>
      <c r="BD219" s="292"/>
      <c r="BE219" s="292"/>
      <c r="BF219" s="157" t="s">
        <v>163</v>
      </c>
      <c r="BG219" s="157"/>
      <c r="BH219" s="158"/>
    </row>
    <row r="220" spans="1:106" s="88" customFormat="1" ht="12" customHeight="1">
      <c r="A220" s="264" t="s">
        <v>160</v>
      </c>
      <c r="B220" s="265"/>
      <c r="C220" s="265"/>
      <c r="D220" s="265"/>
      <c r="E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111"/>
      <c r="Y220" s="111"/>
      <c r="Z220" s="111"/>
      <c r="AA220" s="111"/>
      <c r="AB220" s="114"/>
      <c r="AC220" s="114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5"/>
      <c r="AU220" s="115"/>
      <c r="AV220" s="116"/>
      <c r="AW220" s="266" t="s">
        <v>167</v>
      </c>
      <c r="AX220" s="266"/>
      <c r="AY220" s="266"/>
      <c r="AZ220" s="112" t="s">
        <v>28</v>
      </c>
      <c r="BA220" s="260">
        <f ca="1">BA205+BA213+BA218</f>
        <v>13105.880000000001</v>
      </c>
      <c r="BB220" s="260"/>
      <c r="BC220" s="260"/>
      <c r="BD220" s="260"/>
      <c r="BE220" s="260"/>
      <c r="BF220" s="261" t="s">
        <v>23</v>
      </c>
      <c r="BG220" s="261"/>
      <c r="BH220" s="262"/>
      <c r="BI220" s="87"/>
      <c r="BJ220" s="87"/>
      <c r="BK220" s="87"/>
      <c r="BL220" s="87"/>
      <c r="BM220" s="87"/>
      <c r="BN220" s="87"/>
      <c r="BO220" s="87"/>
      <c r="BP220" s="87"/>
      <c r="BQ220" s="87"/>
      <c r="BR220" s="87"/>
      <c r="BS220" s="87"/>
      <c r="BT220" s="87"/>
      <c r="BU220" s="87"/>
      <c r="BV220" s="87"/>
      <c r="BW220" s="87"/>
      <c r="BX220" s="87"/>
      <c r="BY220" s="87"/>
      <c r="BZ220" s="87"/>
      <c r="CA220" s="87"/>
      <c r="CB220" s="87"/>
      <c r="CC220" s="87"/>
      <c r="CD220" s="87"/>
      <c r="CE220" s="87"/>
      <c r="CF220" s="87"/>
      <c r="CG220" s="87"/>
      <c r="CH220" s="87"/>
      <c r="CI220" s="87"/>
      <c r="CJ220" s="87"/>
      <c r="CK220" s="87"/>
      <c r="CL220" s="87"/>
      <c r="CM220" s="87"/>
      <c r="CN220" s="87"/>
      <c r="CO220" s="87"/>
      <c r="CP220" s="87"/>
      <c r="CQ220" s="87"/>
      <c r="CR220" s="87"/>
      <c r="CS220" s="87"/>
      <c r="CT220" s="87"/>
      <c r="CU220" s="87"/>
      <c r="CV220" s="87"/>
      <c r="CW220" s="87"/>
      <c r="CX220" s="87"/>
      <c r="CY220" s="87"/>
      <c r="CZ220" s="87"/>
      <c r="DA220" s="87"/>
      <c r="DB220" s="119"/>
    </row>
    <row r="221" spans="1:106" s="1" customFormat="1" ht="13.5" customHeight="1">
      <c r="A221" s="249" t="str">
        <f ca="1">график!A34</f>
        <v>8</v>
      </c>
      <c r="B221" s="250"/>
      <c r="C221" s="236" t="str">
        <f ca="1">график!B34</f>
        <v>УСЛУГИ ПО ОБЩЕМУ РУКОВОДСТВУ ПРИ ВЫПОЛНЕНИИ СТРОИТЕЛЬНЫХ, МОНТАЖНЫХ И ПУСКОНАЛАДОЧНЫХ РАБОТ</v>
      </c>
      <c r="D221" s="237"/>
      <c r="E221" s="237"/>
      <c r="F221" s="237"/>
      <c r="G221" s="237"/>
      <c r="H221" s="237"/>
      <c r="I221" s="237"/>
      <c r="J221" s="237"/>
      <c r="K221" s="237"/>
      <c r="L221" s="237"/>
      <c r="M221" s="237"/>
      <c r="N221" s="237"/>
      <c r="O221" s="237"/>
      <c r="P221" s="237"/>
      <c r="Q221" s="237"/>
      <c r="R221" s="237"/>
      <c r="S221" s="237"/>
      <c r="T221" s="237"/>
      <c r="U221" s="237"/>
      <c r="V221" s="237"/>
      <c r="W221" s="237"/>
      <c r="X221" s="237"/>
      <c r="Y221" s="237"/>
      <c r="Z221" s="237"/>
      <c r="AA221" s="237"/>
      <c r="AB221" s="237"/>
      <c r="AC221" s="237"/>
      <c r="AD221" s="237"/>
      <c r="AE221" s="237"/>
      <c r="AF221" s="237"/>
      <c r="AG221" s="237"/>
      <c r="AH221" s="237"/>
      <c r="AI221" s="237"/>
      <c r="AJ221" s="237"/>
      <c r="AK221" s="237"/>
      <c r="AL221" s="237"/>
      <c r="AM221" s="237"/>
      <c r="AN221" s="237"/>
      <c r="AO221" s="237"/>
      <c r="AP221" s="237"/>
      <c r="AQ221" s="237"/>
      <c r="AR221" s="237"/>
      <c r="AS221" s="237"/>
      <c r="AT221" s="237"/>
      <c r="AU221" s="237"/>
      <c r="AV221" s="237"/>
      <c r="AW221" s="237"/>
      <c r="AX221" s="237"/>
      <c r="AY221" s="237"/>
      <c r="AZ221" s="237"/>
      <c r="BA221" s="237"/>
      <c r="BB221" s="237"/>
      <c r="BC221" s="237"/>
      <c r="BD221" s="237"/>
      <c r="BE221" s="237"/>
      <c r="BF221" s="237"/>
      <c r="BG221" s="237"/>
      <c r="BH221" s="238"/>
      <c r="BI221" s="87"/>
    </row>
    <row r="222" spans="1:106" s="90" customFormat="1" ht="12" customHeight="1">
      <c r="A222" s="239" t="str">
        <f ca="1">график!A35</f>
        <v>8.1</v>
      </c>
      <c r="B222" s="240"/>
      <c r="C222" s="205" t="str">
        <f ca="1">график!B35</f>
        <v>участие в выполнении строительных, монтажных и пусконаладочных работ в части обязательств заказчика (застройщика) по заключенным договорам строительного подряда - общее руководство строительством</v>
      </c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  <c r="O222" s="205"/>
      <c r="P222" s="205"/>
      <c r="Q222" s="205"/>
      <c r="R222" s="205"/>
      <c r="S222" s="205"/>
      <c r="T222" s="205"/>
      <c r="U222" s="205"/>
      <c r="V222" s="205"/>
      <c r="W222" s="205"/>
      <c r="X222" s="205"/>
      <c r="Y222" s="205"/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5"/>
      <c r="AJ222" s="205"/>
      <c r="AK222" s="205"/>
      <c r="AL222" s="205"/>
      <c r="AM222" s="205"/>
      <c r="AN222" s="205"/>
      <c r="AO222" s="205"/>
      <c r="AP222" s="205"/>
      <c r="AQ222" s="205"/>
      <c r="AR222" s="205"/>
      <c r="AS222" s="205"/>
      <c r="AT222" s="205"/>
      <c r="AU222" s="205"/>
      <c r="AV222" s="205"/>
      <c r="AW222" s="205"/>
      <c r="AX222" s="205"/>
      <c r="AY222" s="205"/>
      <c r="AZ222" s="205"/>
      <c r="BA222" s="251" t="s">
        <v>245</v>
      </c>
      <c r="BB222" s="251"/>
      <c r="BC222" s="251"/>
      <c r="BD222" s="251"/>
      <c r="BE222" s="251"/>
      <c r="BF222" s="251"/>
      <c r="BG222" s="251"/>
      <c r="BH222" s="252"/>
      <c r="BI222" s="117"/>
      <c r="BJ222" s="117"/>
      <c r="BK222" s="117"/>
      <c r="BL222" s="117"/>
      <c r="BM222" s="117"/>
      <c r="BN222" s="117"/>
      <c r="BO222" s="117"/>
      <c r="BP222" s="117"/>
      <c r="BQ222" s="117"/>
      <c r="BR222" s="117"/>
      <c r="BS222" s="117"/>
      <c r="BT222" s="117"/>
      <c r="BU222" s="117"/>
      <c r="BV222" s="117"/>
      <c r="BW222" s="117"/>
      <c r="BX222" s="117"/>
      <c r="BY222" s="117"/>
      <c r="BZ222" s="117"/>
      <c r="CA222" s="117"/>
      <c r="CB222" s="117"/>
      <c r="CC222" s="117"/>
      <c r="CD222" s="117"/>
      <c r="CE222" s="117"/>
      <c r="CF222" s="117"/>
      <c r="CG222" s="117"/>
      <c r="CH222" s="117"/>
      <c r="CI222" s="117"/>
      <c r="CJ222" s="117"/>
      <c r="CK222" s="117"/>
      <c r="CL222" s="117"/>
      <c r="CM222" s="117"/>
      <c r="CN222" s="117"/>
      <c r="CO222" s="117"/>
      <c r="CP222" s="117"/>
      <c r="CQ222" s="117"/>
      <c r="CR222" s="117"/>
      <c r="CS222" s="117"/>
      <c r="CT222" s="117"/>
      <c r="CU222" s="117"/>
      <c r="CV222" s="117"/>
      <c r="CW222" s="117"/>
      <c r="CX222" s="117"/>
      <c r="CY222" s="117"/>
      <c r="CZ222" s="117"/>
      <c r="DA222" s="117"/>
      <c r="DB222" s="118"/>
    </row>
    <row r="223" spans="1:106" s="88" customFormat="1" ht="12" customHeight="1">
      <c r="A223" s="241" t="s">
        <v>181</v>
      </c>
      <c r="B223" s="242"/>
      <c r="C223" s="242"/>
      <c r="D223" s="242"/>
      <c r="E223" s="242"/>
      <c r="F223" s="242"/>
      <c r="G223" s="242"/>
      <c r="H223" s="242"/>
      <c r="I223" s="242"/>
      <c r="J223" s="242"/>
      <c r="K223" s="242"/>
      <c r="L223" s="242"/>
      <c r="M223" s="242"/>
      <c r="N223" s="242"/>
      <c r="O223" s="242"/>
      <c r="P223" s="242"/>
      <c r="Q223" s="242"/>
      <c r="R223" s="242"/>
      <c r="S223" s="242"/>
      <c r="T223" s="242"/>
      <c r="U223" s="242"/>
      <c r="V223" s="242"/>
      <c r="W223" s="243"/>
      <c r="X223" s="244" t="s">
        <v>45</v>
      </c>
      <c r="Y223" s="245"/>
      <c r="Z223" s="245"/>
      <c r="AA223" s="245"/>
      <c r="AB223" s="253">
        <f ca="1">график!C35</f>
        <v>45536</v>
      </c>
      <c r="AC223" s="246"/>
      <c r="AD223" s="246"/>
      <c r="AE223" s="246"/>
      <c r="AF223" s="246"/>
      <c r="AG223" s="93" t="s">
        <v>1</v>
      </c>
      <c r="AH223" s="254">
        <f ca="1">график!E35</f>
        <v>45658</v>
      </c>
      <c r="AI223" s="247"/>
      <c r="AJ223" s="247"/>
      <c r="AK223" s="247"/>
      <c r="AL223" s="247"/>
      <c r="AM223" s="255" t="s">
        <v>158</v>
      </c>
      <c r="AN223" s="255"/>
      <c r="AO223" s="91" t="s">
        <v>28</v>
      </c>
      <c r="AP223" s="256">
        <f ca="1">график!F35</f>
        <v>1.1177999999999999</v>
      </c>
      <c r="AQ223" s="256"/>
      <c r="AR223" s="256"/>
      <c r="AS223" s="256"/>
      <c r="AT223" s="255" t="s">
        <v>159</v>
      </c>
      <c r="AU223" s="255"/>
      <c r="AV223" s="91" t="s">
        <v>28</v>
      </c>
      <c r="AW223" s="228">
        <f ca="1">график!G35</f>
        <v>1.0377000000000001</v>
      </c>
      <c r="AX223" s="228"/>
      <c r="AY223" s="228"/>
      <c r="AZ223" s="229"/>
      <c r="BA223" s="230"/>
      <c r="BB223" s="231"/>
      <c r="BC223" s="231"/>
      <c r="BD223" s="231"/>
      <c r="BE223" s="231"/>
      <c r="BF223" s="231"/>
      <c r="BG223" s="231"/>
      <c r="BH223" s="232"/>
      <c r="BI223" s="87"/>
      <c r="BJ223" s="87"/>
      <c r="BK223" s="87"/>
      <c r="BL223" s="87"/>
      <c r="BM223" s="87"/>
      <c r="BN223" s="87"/>
      <c r="BO223" s="87"/>
      <c r="BP223" s="87"/>
      <c r="BQ223" s="87"/>
      <c r="BR223" s="87"/>
      <c r="BS223" s="87"/>
      <c r="BT223" s="87"/>
      <c r="BU223" s="87"/>
      <c r="BV223" s="87"/>
      <c r="BW223" s="87"/>
      <c r="BX223" s="87"/>
      <c r="BY223" s="87"/>
      <c r="BZ223" s="87"/>
      <c r="CA223" s="87"/>
      <c r="CB223" s="87"/>
      <c r="CC223" s="87"/>
      <c r="CD223" s="87"/>
      <c r="CE223" s="87"/>
      <c r="CF223" s="87"/>
      <c r="CG223" s="87"/>
      <c r="CH223" s="87"/>
      <c r="CI223" s="87"/>
      <c r="CJ223" s="87"/>
      <c r="CK223" s="87"/>
      <c r="CL223" s="87"/>
      <c r="CM223" s="87"/>
      <c r="CN223" s="87"/>
      <c r="CO223" s="87"/>
      <c r="CP223" s="87"/>
      <c r="CQ223" s="87"/>
      <c r="CR223" s="87"/>
      <c r="CS223" s="87"/>
      <c r="CT223" s="87"/>
      <c r="CU223" s="87"/>
      <c r="CV223" s="87"/>
      <c r="CW223" s="87"/>
      <c r="CX223" s="87"/>
      <c r="CY223" s="87"/>
      <c r="CZ223" s="87"/>
      <c r="DA223" s="87"/>
      <c r="DB223" s="119"/>
    </row>
    <row r="224" spans="1:106" s="88" customFormat="1" ht="12" customHeight="1">
      <c r="A224" s="273" t="s">
        <v>179</v>
      </c>
      <c r="B224" s="274"/>
      <c r="C224" s="274"/>
      <c r="D224" s="274"/>
      <c r="E224" s="274"/>
      <c r="F224" s="274"/>
      <c r="G224" s="274"/>
      <c r="H224" s="274"/>
      <c r="I224" s="274"/>
      <c r="J224" s="274"/>
      <c r="K224" s="274"/>
      <c r="L224" s="274"/>
      <c r="M224" s="274"/>
      <c r="N224" s="274"/>
      <c r="O224" s="274"/>
      <c r="P224" s="274"/>
      <c r="Q224" s="274"/>
      <c r="R224" s="274"/>
      <c r="S224" s="274"/>
      <c r="T224" s="274"/>
      <c r="U224" s="274"/>
      <c r="V224" s="274"/>
      <c r="W224" s="275"/>
      <c r="X224" s="208" t="s">
        <v>39</v>
      </c>
      <c r="Y224" s="209"/>
      <c r="Z224" s="209"/>
      <c r="AA224" s="44" t="s">
        <v>28</v>
      </c>
      <c r="AB224" s="226">
        <v>3000</v>
      </c>
      <c r="AC224" s="226"/>
      <c r="AD224" s="226"/>
      <c r="AE224" s="226"/>
      <c r="AF224" s="248" t="s">
        <v>40</v>
      </c>
      <c r="AG224" s="209"/>
      <c r="AH224" s="209"/>
      <c r="AI224" s="209"/>
      <c r="AJ224" s="209"/>
      <c r="AK224" s="44" t="s">
        <v>28</v>
      </c>
      <c r="AL224" s="289">
        <v>75</v>
      </c>
      <c r="AM224" s="290"/>
      <c r="AN224" s="290"/>
      <c r="AO224" s="290"/>
      <c r="AP224" s="290"/>
      <c r="AQ224" s="258"/>
      <c r="AR224" s="258"/>
      <c r="AS224" s="272"/>
      <c r="AT224" s="272"/>
      <c r="AU224" s="272"/>
      <c r="AV224" s="98"/>
      <c r="AW224" s="263"/>
      <c r="AX224" s="226"/>
      <c r="AY224" s="226"/>
      <c r="AZ224" s="227"/>
      <c r="BA224" s="210"/>
      <c r="BB224" s="211"/>
      <c r="BC224" s="211"/>
      <c r="BD224" s="211"/>
      <c r="BE224" s="211"/>
      <c r="BF224" s="212"/>
      <c r="BG224" s="212"/>
      <c r="BH224" s="213"/>
      <c r="BI224" s="87"/>
      <c r="BJ224" s="87"/>
      <c r="BK224" s="87"/>
      <c r="BL224" s="87"/>
      <c r="BM224" s="87"/>
      <c r="BN224" s="87"/>
      <c r="BO224" s="87"/>
      <c r="BP224" s="87"/>
      <c r="BQ224" s="87"/>
      <c r="BR224" s="87"/>
      <c r="BS224" s="87"/>
      <c r="BT224" s="87"/>
      <c r="BU224" s="87"/>
      <c r="BV224" s="87"/>
      <c r="BW224" s="87"/>
      <c r="BX224" s="87"/>
      <c r="BY224" s="87"/>
      <c r="BZ224" s="87"/>
      <c r="CA224" s="87"/>
      <c r="CB224" s="87"/>
      <c r="CC224" s="87"/>
      <c r="CD224" s="87"/>
      <c r="CE224" s="87"/>
      <c r="CF224" s="87"/>
      <c r="CG224" s="87"/>
      <c r="CH224" s="87"/>
      <c r="CI224" s="87"/>
      <c r="CJ224" s="87"/>
      <c r="CK224" s="87"/>
      <c r="CL224" s="87"/>
      <c r="CM224" s="87"/>
      <c r="CN224" s="87"/>
      <c r="CO224" s="87"/>
      <c r="CP224" s="87"/>
      <c r="CQ224" s="87"/>
      <c r="CR224" s="87"/>
      <c r="CS224" s="87"/>
      <c r="CT224" s="87"/>
      <c r="CU224" s="87"/>
      <c r="CV224" s="87"/>
      <c r="CW224" s="87"/>
      <c r="CX224" s="87"/>
      <c r="CY224" s="87"/>
      <c r="CZ224" s="87"/>
      <c r="DA224" s="87"/>
      <c r="DB224" s="119"/>
    </row>
    <row r="225" spans="1:106" s="88" customFormat="1" ht="12" customHeight="1">
      <c r="A225" s="273"/>
      <c r="B225" s="274"/>
      <c r="C225" s="274"/>
      <c r="D225" s="274"/>
      <c r="E225" s="274"/>
      <c r="F225" s="274"/>
      <c r="G225" s="274"/>
      <c r="H225" s="274"/>
      <c r="I225" s="274"/>
      <c r="J225" s="27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4"/>
      <c r="W225" s="275"/>
      <c r="X225" s="208" t="s">
        <v>43</v>
      </c>
      <c r="Y225" s="209"/>
      <c r="Z225" s="209"/>
      <c r="AA225" s="44" t="s">
        <v>28</v>
      </c>
      <c r="AB225" s="226">
        <v>4000</v>
      </c>
      <c r="AC225" s="226"/>
      <c r="AD225" s="226"/>
      <c r="AE225" s="226"/>
      <c r="AF225" s="248" t="s">
        <v>44</v>
      </c>
      <c r="AG225" s="209"/>
      <c r="AH225" s="209"/>
      <c r="AI225" s="209"/>
      <c r="AJ225" s="209"/>
      <c r="AK225" s="44" t="s">
        <v>28</v>
      </c>
      <c r="AL225" s="289">
        <v>90</v>
      </c>
      <c r="AM225" s="290"/>
      <c r="AN225" s="290"/>
      <c r="AO225" s="290"/>
      <c r="AP225" s="290"/>
      <c r="AQ225" s="108"/>
      <c r="AR225" s="108"/>
      <c r="AS225" s="108"/>
      <c r="AT225" s="108"/>
      <c r="AU225" s="108"/>
      <c r="AV225" s="108"/>
      <c r="AW225" s="108"/>
      <c r="AX225" s="108"/>
      <c r="AY225" s="108"/>
      <c r="AZ225" s="135"/>
      <c r="BA225" s="210"/>
      <c r="BB225" s="211"/>
      <c r="BC225" s="211"/>
      <c r="BD225" s="211"/>
      <c r="BE225" s="211"/>
      <c r="BF225" s="212"/>
      <c r="BG225" s="212"/>
      <c r="BH225" s="213"/>
      <c r="BI225" s="87"/>
      <c r="BJ225" s="87"/>
      <c r="BK225" s="87"/>
      <c r="BL225" s="87"/>
      <c r="BM225" s="87"/>
      <c r="BN225" s="87"/>
      <c r="BO225" s="87"/>
      <c r="BP225" s="87"/>
      <c r="BQ225" s="87"/>
      <c r="BR225" s="87"/>
      <c r="BS225" s="87"/>
      <c r="BT225" s="87"/>
      <c r="BU225" s="87"/>
      <c r="BV225" s="87"/>
      <c r="BW225" s="87"/>
      <c r="BX225" s="87"/>
      <c r="BY225" s="87"/>
      <c r="BZ225" s="87"/>
      <c r="CA225" s="87"/>
      <c r="CB225" s="87"/>
      <c r="CC225" s="87"/>
      <c r="CD225" s="87"/>
      <c r="CE225" s="87"/>
      <c r="CF225" s="87"/>
      <c r="CG225" s="87"/>
      <c r="CH225" s="87"/>
      <c r="CI225" s="87"/>
      <c r="CJ225" s="87"/>
      <c r="CK225" s="87"/>
      <c r="CL225" s="87"/>
      <c r="CM225" s="87"/>
      <c r="CN225" s="87"/>
      <c r="CO225" s="87"/>
      <c r="CP225" s="87"/>
      <c r="CQ225" s="87"/>
      <c r="CR225" s="87"/>
      <c r="CS225" s="87"/>
      <c r="CT225" s="87"/>
      <c r="CU225" s="87"/>
      <c r="CV225" s="87"/>
      <c r="CW225" s="87"/>
      <c r="CX225" s="87"/>
      <c r="CY225" s="87"/>
      <c r="CZ225" s="87"/>
      <c r="DA225" s="87"/>
      <c r="DB225" s="119"/>
    </row>
    <row r="226" spans="1:106" s="88" customFormat="1" ht="12" customHeight="1">
      <c r="A226" s="273"/>
      <c r="B226" s="274"/>
      <c r="C226" s="274"/>
      <c r="D226" s="274"/>
      <c r="E226" s="274"/>
      <c r="F226" s="274"/>
      <c r="G226" s="274"/>
      <c r="H226" s="274"/>
      <c r="I226" s="274"/>
      <c r="J226" s="274"/>
      <c r="K226" s="274"/>
      <c r="L226" s="274"/>
      <c r="M226" s="274"/>
      <c r="N226" s="274"/>
      <c r="O226" s="274"/>
      <c r="P226" s="274"/>
      <c r="Q226" s="274"/>
      <c r="R226" s="274"/>
      <c r="S226" s="274"/>
      <c r="T226" s="274"/>
      <c r="U226" s="274"/>
      <c r="V226" s="274"/>
      <c r="W226" s="275"/>
      <c r="X226" s="224" t="s">
        <v>22</v>
      </c>
      <c r="Y226" s="225"/>
      <c r="Z226" s="225"/>
      <c r="AA226" s="94" t="s">
        <v>28</v>
      </c>
      <c r="AB226" s="226" t="str">
        <f>CONCATENATE(AL224," + [(",AL225," - ", AL224,") / (",AB225," - ", AB224,")] x (",D230," - ",AB224,")  = ")</f>
        <v xml:space="preserve">75 + [(90 - 75) / (4000 - 3000)] x (3310 - 3000)  = </v>
      </c>
      <c r="AC226" s="226"/>
      <c r="AD226" s="226"/>
      <c r="AE226" s="226"/>
      <c r="AF226" s="226"/>
      <c r="AG226" s="226"/>
      <c r="AH226" s="226"/>
      <c r="AI226" s="226"/>
      <c r="AJ226" s="226"/>
      <c r="AK226" s="226"/>
      <c r="AL226" s="226"/>
      <c r="AM226" s="226"/>
      <c r="AN226" s="226"/>
      <c r="AO226" s="226"/>
      <c r="AP226" s="226"/>
      <c r="AQ226" s="226"/>
      <c r="AR226" s="226"/>
      <c r="AS226" s="226"/>
      <c r="AT226" s="226"/>
      <c r="AU226" s="226"/>
      <c r="AV226" s="226"/>
      <c r="AW226" s="226"/>
      <c r="AX226" s="226"/>
      <c r="AY226" s="226"/>
      <c r="AZ226" s="227"/>
      <c r="BA226" s="210">
        <f>ROUND(AL224 + ((AL225-AL224) / (AB225-AB224)) * (D230-AB224),2)</f>
        <v>79.650000000000006</v>
      </c>
      <c r="BB226" s="211"/>
      <c r="BC226" s="211"/>
      <c r="BD226" s="211"/>
      <c r="BE226" s="211"/>
      <c r="BF226" s="212" t="s">
        <v>163</v>
      </c>
      <c r="BG226" s="212"/>
      <c r="BH226" s="213"/>
      <c r="BI226" s="87"/>
      <c r="BJ226" s="144" t="s">
        <v>171</v>
      </c>
      <c r="BK226" s="87"/>
      <c r="BL226" s="87"/>
      <c r="BM226" s="87"/>
      <c r="BN226" s="87"/>
      <c r="BO226" s="87"/>
      <c r="BP226" s="87"/>
      <c r="BQ226" s="87"/>
      <c r="BR226" s="87"/>
      <c r="BS226" s="87"/>
      <c r="BT226" s="87"/>
      <c r="BU226" s="87"/>
      <c r="BV226" s="87"/>
      <c r="BW226" s="87"/>
      <c r="BX226" s="87"/>
      <c r="BY226" s="87"/>
      <c r="BZ226" s="87"/>
      <c r="CA226" s="87"/>
      <c r="CB226" s="87"/>
      <c r="CC226" s="87"/>
      <c r="CD226" s="87"/>
      <c r="CE226" s="87"/>
      <c r="CF226" s="87"/>
      <c r="CG226" s="87"/>
      <c r="CH226" s="87"/>
      <c r="CI226" s="87"/>
      <c r="CJ226" s="87"/>
      <c r="CK226" s="87"/>
      <c r="CL226" s="87"/>
      <c r="CM226" s="87"/>
      <c r="CN226" s="87"/>
      <c r="CO226" s="87"/>
      <c r="CP226" s="87"/>
      <c r="CQ226" s="87"/>
      <c r="CR226" s="87"/>
      <c r="CS226" s="87"/>
      <c r="CT226" s="87"/>
      <c r="CU226" s="87"/>
      <c r="CV226" s="87"/>
      <c r="CW226" s="87"/>
      <c r="CX226" s="87"/>
      <c r="CY226" s="87"/>
      <c r="CZ226" s="87"/>
      <c r="DA226" s="87"/>
      <c r="DB226" s="119"/>
    </row>
    <row r="227" spans="1:106" s="88" customFormat="1" ht="12" customHeight="1">
      <c r="A227" s="286" t="s">
        <v>30</v>
      </c>
      <c r="B227" s="287"/>
      <c r="C227" s="287"/>
      <c r="D227" s="287"/>
      <c r="E227" s="287"/>
      <c r="F227" s="287"/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8"/>
      <c r="X227" s="208" t="s">
        <v>182</v>
      </c>
      <c r="Y227" s="209"/>
      <c r="Z227" s="209"/>
      <c r="AA227" s="44" t="s">
        <v>28</v>
      </c>
      <c r="AB227" s="276">
        <v>1.05</v>
      </c>
      <c r="AC227" s="276"/>
      <c r="AD227" s="276"/>
      <c r="AE227" s="272" t="s">
        <v>184</v>
      </c>
      <c r="AF227" s="272"/>
      <c r="AG227" s="98" t="s">
        <v>28</v>
      </c>
      <c r="AH227" s="407">
        <f>D230</f>
        <v>3310</v>
      </c>
      <c r="AI227" s="407"/>
      <c r="AJ227" s="407"/>
      <c r="AK227" s="248" t="s">
        <v>189</v>
      </c>
      <c r="AL227" s="248"/>
      <c r="AM227" s="44" t="s">
        <v>28</v>
      </c>
      <c r="AN227" s="226" t="str">
        <f>CONCATENATE("1 + (",AB227," - 1) x ",AH227," / ",D230)</f>
        <v>1 + (1,05 - 1) x 3310 / 3310</v>
      </c>
      <c r="AO227" s="226"/>
      <c r="AP227" s="226"/>
      <c r="AQ227" s="226"/>
      <c r="AR227" s="226"/>
      <c r="AS227" s="226"/>
      <c r="AT227" s="226"/>
      <c r="AU227" s="226"/>
      <c r="AV227" s="226"/>
      <c r="AW227" s="226"/>
      <c r="AX227" s="226"/>
      <c r="AY227" s="226"/>
      <c r="AZ227" s="110" t="s">
        <v>28</v>
      </c>
      <c r="BA227" s="284">
        <f>ROUND(1 + (AB227 - 1) *(AH227 / D230),2)</f>
        <v>1.05</v>
      </c>
      <c r="BB227" s="285"/>
      <c r="BC227" s="285"/>
      <c r="BD227" s="285"/>
      <c r="BE227" s="285"/>
      <c r="BF227" s="100"/>
      <c r="BG227" s="100"/>
      <c r="BH227" s="101"/>
      <c r="BI227" s="87"/>
      <c r="BJ227" s="87"/>
      <c r="BK227" s="87"/>
      <c r="BL227" s="87"/>
      <c r="BM227" s="87"/>
      <c r="BO227" s="109"/>
      <c r="BP227" s="87"/>
      <c r="BQ227" s="87"/>
      <c r="BR227" s="87"/>
      <c r="BS227" s="87"/>
      <c r="BT227" s="87"/>
      <c r="BU227" s="87"/>
      <c r="BV227" s="87"/>
      <c r="BW227" s="87"/>
      <c r="BX227" s="87"/>
      <c r="BY227" s="87"/>
      <c r="BZ227" s="87"/>
      <c r="CA227" s="87"/>
      <c r="CB227" s="87"/>
      <c r="CC227" s="87"/>
      <c r="CD227" s="87"/>
      <c r="CE227" s="87"/>
      <c r="CF227" s="87"/>
      <c r="CG227" s="87"/>
      <c r="CH227" s="87"/>
      <c r="CI227" s="87"/>
      <c r="CJ227" s="87"/>
      <c r="CK227" s="87"/>
      <c r="CL227" s="87"/>
      <c r="CM227" s="87"/>
      <c r="CN227" s="87"/>
      <c r="CO227" s="87"/>
      <c r="CP227" s="87"/>
      <c r="CQ227" s="87"/>
      <c r="CR227" s="87"/>
      <c r="CS227" s="87"/>
      <c r="CT227" s="87"/>
      <c r="CU227" s="87"/>
      <c r="CV227" s="87"/>
      <c r="CW227" s="87"/>
      <c r="CX227" s="87"/>
      <c r="CY227" s="87"/>
      <c r="CZ227" s="87"/>
      <c r="DA227" s="87"/>
      <c r="DB227" s="119"/>
    </row>
    <row r="228" spans="1:106" s="88" customFormat="1" ht="12" customHeight="1">
      <c r="A228" s="286" t="s">
        <v>185</v>
      </c>
      <c r="B228" s="287"/>
      <c r="C228" s="287"/>
      <c r="D228" s="287"/>
      <c r="E228" s="287"/>
      <c r="F228" s="287"/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8"/>
      <c r="X228" s="208" t="s">
        <v>183</v>
      </c>
      <c r="Y228" s="209"/>
      <c r="Z228" s="209"/>
      <c r="AA228" s="44" t="s">
        <v>28</v>
      </c>
      <c r="AB228" s="276">
        <v>2.19</v>
      </c>
      <c r="AC228" s="276"/>
      <c r="AD228" s="276"/>
      <c r="AE228" s="258" t="s">
        <v>184</v>
      </c>
      <c r="AF228" s="258"/>
      <c r="AG228" s="98" t="s">
        <v>28</v>
      </c>
      <c r="AH228" s="407">
        <v>180</v>
      </c>
      <c r="AI228" s="407"/>
      <c r="AJ228" s="407"/>
      <c r="AK228" s="248" t="s">
        <v>189</v>
      </c>
      <c r="AL228" s="248"/>
      <c r="AM228" s="44" t="s">
        <v>28</v>
      </c>
      <c r="AN228" s="226" t="str">
        <f>CONCATENATE("1 + (1 - ",AB228,") x ",AH228," / ",D230)</f>
        <v>1 + (1 - 2,19) x 180 / 3310</v>
      </c>
      <c r="AO228" s="226"/>
      <c r="AP228" s="226"/>
      <c r="AQ228" s="226"/>
      <c r="AR228" s="226"/>
      <c r="AS228" s="226"/>
      <c r="AT228" s="226"/>
      <c r="AU228" s="226"/>
      <c r="AV228" s="226"/>
      <c r="AW228" s="226"/>
      <c r="AX228" s="226"/>
      <c r="AY228" s="226"/>
      <c r="AZ228" s="110" t="s">
        <v>28</v>
      </c>
      <c r="BA228" s="284">
        <f>ROUND(1 + (AB228 - 1) *(AH228 / D230),2)</f>
        <v>1.06</v>
      </c>
      <c r="BB228" s="285"/>
      <c r="BC228" s="285"/>
      <c r="BD228" s="285"/>
      <c r="BE228" s="285"/>
      <c r="BF228" s="100"/>
      <c r="BG228" s="100"/>
      <c r="BH228" s="101"/>
      <c r="BI228" s="87"/>
      <c r="BJ228" s="151">
        <f>(1+(BA227-1)+(BA228-1))</f>
        <v>1.1100000000000001</v>
      </c>
      <c r="BK228" s="87"/>
      <c r="BL228" s="87"/>
      <c r="BM228" s="87"/>
      <c r="BP228" s="87"/>
      <c r="BQ228" s="87"/>
      <c r="BR228" s="87"/>
      <c r="BS228" s="87"/>
      <c r="BT228" s="87"/>
      <c r="BU228" s="87"/>
      <c r="BV228" s="87"/>
      <c r="BW228" s="87"/>
      <c r="BX228" s="87"/>
      <c r="BY228" s="87"/>
      <c r="BZ228" s="87"/>
      <c r="CA228" s="87"/>
      <c r="CB228" s="87"/>
      <c r="CC228" s="87"/>
      <c r="CD228" s="87"/>
      <c r="CE228" s="87"/>
      <c r="CF228" s="87"/>
      <c r="CG228" s="87"/>
      <c r="CH228" s="87"/>
      <c r="CI228" s="87"/>
      <c r="CJ228" s="87"/>
      <c r="CK228" s="87"/>
      <c r="CL228" s="87"/>
      <c r="CM228" s="87"/>
      <c r="CN228" s="87"/>
      <c r="CO228" s="87"/>
      <c r="CP228" s="87"/>
      <c r="CQ228" s="87"/>
      <c r="CR228" s="87"/>
      <c r="CS228" s="87"/>
      <c r="CT228" s="87"/>
      <c r="CU228" s="87"/>
      <c r="CV228" s="87"/>
      <c r="CW228" s="87"/>
      <c r="CX228" s="87"/>
      <c r="CY228" s="87"/>
      <c r="CZ228" s="87"/>
      <c r="DA228" s="87"/>
      <c r="DB228" s="119"/>
    </row>
    <row r="229" spans="1:106" s="88" customFormat="1" ht="12" customHeight="1">
      <c r="A229" s="129"/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1"/>
      <c r="X229" s="420" t="s">
        <v>190</v>
      </c>
      <c r="Y229" s="421"/>
      <c r="Z229" s="421"/>
      <c r="AA229" s="94" t="s">
        <v>28</v>
      </c>
      <c r="AB229" s="226" t="str">
        <f>CONCATENATE(BA226," x [1 + (",BA227," - 1) + (",BA228," - 1)] = ",BA226," x ",BJ228," = ")</f>
        <v xml:space="preserve">79,65 x [1 + (1,05 - 1) + (1,06 - 1)] = 79,65 x 1,11 = </v>
      </c>
      <c r="AC229" s="226"/>
      <c r="AD229" s="226"/>
      <c r="AE229" s="226"/>
      <c r="AF229" s="226"/>
      <c r="AG229" s="226"/>
      <c r="AH229" s="226"/>
      <c r="AI229" s="226"/>
      <c r="AJ229" s="226"/>
      <c r="AK229" s="226"/>
      <c r="AL229" s="226"/>
      <c r="AM229" s="226"/>
      <c r="AN229" s="226"/>
      <c r="AO229" s="226"/>
      <c r="AP229" s="226"/>
      <c r="AQ229" s="226"/>
      <c r="AR229" s="226"/>
      <c r="AS229" s="226"/>
      <c r="AT229" s="226"/>
      <c r="AU229" s="226"/>
      <c r="AV229" s="226"/>
      <c r="AW229" s="226"/>
      <c r="AX229" s="226"/>
      <c r="AY229" s="226"/>
      <c r="AZ229" s="227"/>
      <c r="BA229" s="210">
        <f>ROUND(BA226*BJ228,2)</f>
        <v>88.41</v>
      </c>
      <c r="BB229" s="211"/>
      <c r="BC229" s="211"/>
      <c r="BD229" s="211"/>
      <c r="BE229" s="211"/>
      <c r="BF229" s="212" t="s">
        <v>163</v>
      </c>
      <c r="BG229" s="212"/>
      <c r="BH229" s="213"/>
      <c r="BI229" s="87"/>
      <c r="BJ229" s="144"/>
      <c r="BK229" s="87"/>
      <c r="BL229" s="87"/>
      <c r="BM229" s="87"/>
      <c r="BN229" s="87"/>
      <c r="BO229" s="87"/>
      <c r="BP229" s="87"/>
      <c r="BQ229" s="87"/>
      <c r="BR229" s="87"/>
      <c r="BS229" s="87"/>
      <c r="BT229" s="87"/>
      <c r="BU229" s="87"/>
      <c r="BV229" s="87"/>
      <c r="BW229" s="87"/>
      <c r="BX229" s="87"/>
      <c r="BY229" s="87"/>
      <c r="BZ229" s="87"/>
      <c r="CA229" s="87"/>
      <c r="CB229" s="87"/>
      <c r="CC229" s="87"/>
      <c r="CD229" s="87"/>
      <c r="CE229" s="87"/>
      <c r="CF229" s="87"/>
      <c r="CG229" s="87"/>
      <c r="CH229" s="87"/>
      <c r="CI229" s="87"/>
      <c r="CJ229" s="87"/>
      <c r="CK229" s="87"/>
      <c r="CL229" s="87"/>
      <c r="CM229" s="87"/>
      <c r="CN229" s="87"/>
      <c r="CO229" s="87"/>
      <c r="CP229" s="87"/>
      <c r="CQ229" s="87"/>
      <c r="CR229" s="87"/>
      <c r="CS229" s="87"/>
      <c r="CT229" s="87"/>
      <c r="CU229" s="87"/>
      <c r="CV229" s="87"/>
      <c r="CW229" s="87"/>
      <c r="CX229" s="87"/>
      <c r="CY229" s="87"/>
      <c r="CZ229" s="87"/>
      <c r="DA229" s="87"/>
      <c r="DB229" s="119"/>
    </row>
    <row r="230" spans="1:106" s="88" customFormat="1" ht="12" customHeight="1">
      <c r="A230" s="214" t="s">
        <v>170</v>
      </c>
      <c r="B230" s="215"/>
      <c r="C230" s="113" t="s">
        <v>28</v>
      </c>
      <c r="D230" s="417">
        <f>$D$57</f>
        <v>3310</v>
      </c>
      <c r="E230" s="417"/>
      <c r="F230" s="417"/>
      <c r="G230" s="417"/>
      <c r="H230" s="417"/>
      <c r="I230" s="120"/>
      <c r="J230" s="120"/>
      <c r="K230" s="120"/>
      <c r="L230" s="120"/>
      <c r="M230" s="120"/>
      <c r="N230" s="120"/>
      <c r="O230" s="120"/>
      <c r="P230" s="120"/>
      <c r="Q230" s="120"/>
      <c r="R230" s="215"/>
      <c r="S230" s="215"/>
      <c r="T230" s="113"/>
      <c r="U230" s="217"/>
      <c r="V230" s="218"/>
      <c r="W230" s="219"/>
      <c r="X230" s="422" t="s">
        <v>162</v>
      </c>
      <c r="Y230" s="423"/>
      <c r="Z230" s="423"/>
      <c r="AA230" s="97" t="s">
        <v>28</v>
      </c>
      <c r="AB230" s="222" t="str">
        <f ca="1">CONCATENATE(BA229," x ",$AO$17," x ", AP223," x [1 + 0,5 x (",AW223," - 1)]  = ")</f>
        <v xml:space="preserve">88,41 x 307,7 x 1,1178 x [1 + 0,5 x (1,0377 - 1)]  = </v>
      </c>
      <c r="AC230" s="222"/>
      <c r="AD230" s="222"/>
      <c r="AE230" s="222"/>
      <c r="AF230" s="222"/>
      <c r="AG230" s="222"/>
      <c r="AH230" s="222"/>
      <c r="AI230" s="222"/>
      <c r="AJ230" s="222"/>
      <c r="AK230" s="222"/>
      <c r="AL230" s="222"/>
      <c r="AM230" s="222"/>
      <c r="AN230" s="222"/>
      <c r="AO230" s="222"/>
      <c r="AP230" s="222"/>
      <c r="AQ230" s="222"/>
      <c r="AR230" s="222"/>
      <c r="AS230" s="222"/>
      <c r="AT230" s="222"/>
      <c r="AU230" s="222"/>
      <c r="AV230" s="222"/>
      <c r="AW230" s="222"/>
      <c r="AX230" s="222"/>
      <c r="AY230" s="222"/>
      <c r="AZ230" s="223"/>
      <c r="BA230" s="268">
        <f ca="1">ROUND(BA229*$AO$17*AP223*(1+0.5*(AW223-1)),2)</f>
        <v>30981.56</v>
      </c>
      <c r="BB230" s="269"/>
      <c r="BC230" s="269"/>
      <c r="BD230" s="269"/>
      <c r="BE230" s="269"/>
      <c r="BF230" s="270" t="s">
        <v>23</v>
      </c>
      <c r="BG230" s="270"/>
      <c r="BH230" s="271"/>
      <c r="BI230" s="87"/>
      <c r="BJ230" s="87"/>
      <c r="BK230" s="87"/>
      <c r="BL230" s="87"/>
      <c r="BM230" s="87"/>
      <c r="BN230" s="87"/>
      <c r="BO230" s="87"/>
      <c r="BP230" s="87"/>
      <c r="BQ230" s="87"/>
      <c r="BR230" s="87"/>
      <c r="BS230" s="87"/>
      <c r="BT230" s="87"/>
      <c r="BU230" s="87"/>
      <c r="BV230" s="87"/>
      <c r="BW230" s="87"/>
      <c r="BX230" s="87"/>
      <c r="BY230" s="87"/>
      <c r="BZ230" s="87"/>
      <c r="CA230" s="87"/>
      <c r="CB230" s="87"/>
      <c r="CC230" s="87"/>
      <c r="CD230" s="87"/>
      <c r="CE230" s="87"/>
      <c r="CF230" s="87"/>
      <c r="CG230" s="87"/>
      <c r="CH230" s="87"/>
      <c r="CI230" s="87"/>
      <c r="CJ230" s="87"/>
      <c r="CK230" s="87"/>
      <c r="CL230" s="87"/>
      <c r="CM230" s="87"/>
      <c r="CN230" s="87"/>
      <c r="CO230" s="87"/>
      <c r="CP230" s="87"/>
      <c r="CQ230" s="87"/>
      <c r="CR230" s="87"/>
      <c r="CS230" s="87"/>
      <c r="CT230" s="87"/>
      <c r="CU230" s="87"/>
      <c r="CV230" s="87"/>
      <c r="CW230" s="87"/>
      <c r="CX230" s="87"/>
      <c r="CY230" s="87"/>
      <c r="CZ230" s="87"/>
      <c r="DA230" s="87"/>
      <c r="DB230" s="119"/>
    </row>
    <row r="231" spans="1:106" s="88" customFormat="1" ht="12" customHeight="1">
      <c r="A231" s="241" t="s">
        <v>227</v>
      </c>
      <c r="B231" s="242"/>
      <c r="C231" s="242"/>
      <c r="D231" s="242"/>
      <c r="E231" s="242"/>
      <c r="F231" s="242"/>
      <c r="G231" s="242"/>
      <c r="H231" s="242"/>
      <c r="I231" s="242"/>
      <c r="J231" s="242"/>
      <c r="K231" s="242"/>
      <c r="L231" s="242"/>
      <c r="M231" s="242"/>
      <c r="N231" s="242"/>
      <c r="O231" s="242"/>
      <c r="P231" s="242"/>
      <c r="Q231" s="242"/>
      <c r="R231" s="242"/>
      <c r="S231" s="242"/>
      <c r="T231" s="242"/>
      <c r="U231" s="242"/>
      <c r="V231" s="242"/>
      <c r="W231" s="243"/>
      <c r="X231" s="299" t="s">
        <v>45</v>
      </c>
      <c r="Y231" s="300"/>
      <c r="Z231" s="300"/>
      <c r="AA231" s="300"/>
      <c r="AB231" s="301">
        <f ca="1">график!C35</f>
        <v>45536</v>
      </c>
      <c r="AC231" s="302"/>
      <c r="AD231" s="302"/>
      <c r="AE231" s="302"/>
      <c r="AF231" s="302"/>
      <c r="AG231" s="169" t="s">
        <v>1</v>
      </c>
      <c r="AH231" s="303">
        <f ca="1">график!E35</f>
        <v>45658</v>
      </c>
      <c r="AI231" s="304"/>
      <c r="AJ231" s="304"/>
      <c r="AK231" s="304"/>
      <c r="AL231" s="304"/>
      <c r="AM231" s="293" t="s">
        <v>158</v>
      </c>
      <c r="AN231" s="293"/>
      <c r="AO231" s="170" t="s">
        <v>28</v>
      </c>
      <c r="AP231" s="294">
        <f ca="1">график!F35</f>
        <v>1.1177999999999999</v>
      </c>
      <c r="AQ231" s="294"/>
      <c r="AR231" s="294"/>
      <c r="AS231" s="294"/>
      <c r="AT231" s="293" t="s">
        <v>159</v>
      </c>
      <c r="AU231" s="293"/>
      <c r="AV231" s="170" t="s">
        <v>28</v>
      </c>
      <c r="AW231" s="295">
        <f ca="1">график!G35</f>
        <v>1.0377000000000001</v>
      </c>
      <c r="AX231" s="295"/>
      <c r="AY231" s="295"/>
      <c r="AZ231" s="296"/>
      <c r="BA231" s="230"/>
      <c r="BB231" s="231"/>
      <c r="BC231" s="231"/>
      <c r="BD231" s="231"/>
      <c r="BE231" s="231"/>
      <c r="BF231" s="231"/>
      <c r="BG231" s="231"/>
      <c r="BH231" s="232"/>
      <c r="BI231" s="87"/>
      <c r="BJ231" s="87"/>
      <c r="BK231" s="87"/>
      <c r="BL231" s="87"/>
      <c r="BM231" s="87"/>
      <c r="BN231" s="87"/>
      <c r="BO231" s="87"/>
      <c r="BP231" s="87"/>
      <c r="BQ231" s="87"/>
      <c r="BR231" s="87"/>
      <c r="BS231" s="87"/>
      <c r="BT231" s="87"/>
      <c r="BU231" s="87"/>
      <c r="BV231" s="87"/>
      <c r="BW231" s="87"/>
      <c r="BX231" s="87"/>
      <c r="BY231" s="87"/>
      <c r="BZ231" s="87"/>
      <c r="CA231" s="87"/>
      <c r="CB231" s="87"/>
      <c r="CC231" s="87"/>
      <c r="CD231" s="87"/>
      <c r="CE231" s="87"/>
      <c r="CF231" s="87"/>
      <c r="CG231" s="87"/>
      <c r="CH231" s="87"/>
      <c r="CI231" s="87"/>
      <c r="CJ231" s="87"/>
      <c r="CK231" s="87"/>
      <c r="CL231" s="87"/>
      <c r="CM231" s="87"/>
      <c r="CN231" s="87"/>
      <c r="CO231" s="87"/>
      <c r="CP231" s="87"/>
      <c r="CQ231" s="87"/>
      <c r="CR231" s="87"/>
      <c r="CS231" s="87"/>
      <c r="CT231" s="87"/>
      <c r="CU231" s="87"/>
      <c r="CV231" s="87"/>
      <c r="CW231" s="87"/>
      <c r="CX231" s="87"/>
      <c r="CY231" s="87"/>
      <c r="CZ231" s="87"/>
      <c r="DA231" s="87"/>
      <c r="DB231" s="119"/>
    </row>
    <row r="232" spans="1:106" s="88" customFormat="1" ht="12" customHeight="1">
      <c r="A232" s="273" t="s">
        <v>226</v>
      </c>
      <c r="B232" s="274"/>
      <c r="C232" s="274"/>
      <c r="D232" s="274"/>
      <c r="E232" s="274"/>
      <c r="F232" s="274"/>
      <c r="G232" s="274"/>
      <c r="H232" s="274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5"/>
      <c r="X232" s="208" t="s">
        <v>39</v>
      </c>
      <c r="Y232" s="209"/>
      <c r="Z232" s="209"/>
      <c r="AA232" s="44" t="s">
        <v>28</v>
      </c>
      <c r="AB232" s="226">
        <v>100</v>
      </c>
      <c r="AC232" s="226"/>
      <c r="AD232" s="226"/>
      <c r="AE232" s="226"/>
      <c r="AF232" s="248" t="s">
        <v>40</v>
      </c>
      <c r="AG232" s="209"/>
      <c r="AH232" s="209"/>
      <c r="AI232" s="209"/>
      <c r="AJ232" s="209"/>
      <c r="AK232" s="44" t="s">
        <v>28</v>
      </c>
      <c r="AL232" s="297">
        <v>1.48</v>
      </c>
      <c r="AM232" s="298"/>
      <c r="AN232" s="298"/>
      <c r="AO232" s="298"/>
      <c r="AP232" s="298"/>
      <c r="AQ232" s="258"/>
      <c r="AR232" s="258"/>
      <c r="AS232" s="272"/>
      <c r="AT232" s="272"/>
      <c r="AU232" s="272"/>
      <c r="AV232" s="98"/>
      <c r="AW232" s="263"/>
      <c r="AX232" s="226"/>
      <c r="AY232" s="226"/>
      <c r="AZ232" s="227"/>
      <c r="BA232" s="210"/>
      <c r="BB232" s="211"/>
      <c r="BC232" s="211"/>
      <c r="BD232" s="211"/>
      <c r="BE232" s="211"/>
      <c r="BF232" s="212"/>
      <c r="BG232" s="212"/>
      <c r="BH232" s="213"/>
      <c r="BI232" s="87"/>
      <c r="BJ232" s="87"/>
      <c r="BK232" s="87"/>
      <c r="BL232" s="87"/>
      <c r="BM232" s="87"/>
      <c r="BN232" s="87"/>
      <c r="BO232" s="87"/>
      <c r="BP232" s="87"/>
      <c r="BQ232" s="87"/>
      <c r="BR232" s="87"/>
      <c r="BS232" s="87"/>
      <c r="BT232" s="87"/>
      <c r="BU232" s="87"/>
      <c r="BV232" s="87"/>
      <c r="BW232" s="87"/>
      <c r="BX232" s="87"/>
      <c r="BY232" s="87"/>
      <c r="BZ232" s="87"/>
      <c r="CA232" s="87"/>
      <c r="CB232" s="87"/>
      <c r="CC232" s="87"/>
      <c r="CD232" s="87"/>
      <c r="CE232" s="87"/>
      <c r="CF232" s="87"/>
      <c r="CG232" s="87"/>
      <c r="CH232" s="87"/>
      <c r="CI232" s="87"/>
      <c r="CJ232" s="87"/>
      <c r="CK232" s="87"/>
      <c r="CL232" s="87"/>
      <c r="CM232" s="87"/>
      <c r="CN232" s="87"/>
      <c r="CO232" s="87"/>
      <c r="CP232" s="87"/>
      <c r="CQ232" s="87"/>
      <c r="CR232" s="87"/>
      <c r="CS232" s="87"/>
      <c r="CT232" s="87"/>
      <c r="CU232" s="87"/>
      <c r="CV232" s="87"/>
      <c r="CW232" s="87"/>
      <c r="CX232" s="87"/>
      <c r="CY232" s="87"/>
      <c r="CZ232" s="87"/>
      <c r="DA232" s="87"/>
      <c r="DB232" s="119"/>
    </row>
    <row r="233" spans="1:106" s="88" customFormat="1" ht="12" customHeight="1">
      <c r="A233" s="273"/>
      <c r="B233" s="274"/>
      <c r="C233" s="274"/>
      <c r="D233" s="274"/>
      <c r="E233" s="274"/>
      <c r="F233" s="274"/>
      <c r="G233" s="274"/>
      <c r="H233" s="274"/>
      <c r="I233" s="274"/>
      <c r="J233" s="274"/>
      <c r="K233" s="274"/>
      <c r="L233" s="274"/>
      <c r="M233" s="274"/>
      <c r="N233" s="274"/>
      <c r="O233" s="274"/>
      <c r="P233" s="274"/>
      <c r="Q233" s="274"/>
      <c r="R233" s="274"/>
      <c r="S233" s="274"/>
      <c r="T233" s="274"/>
      <c r="U233" s="274"/>
      <c r="V233" s="274"/>
      <c r="W233" s="275"/>
      <c r="X233" s="208" t="s">
        <v>43</v>
      </c>
      <c r="Y233" s="209"/>
      <c r="Z233" s="209"/>
      <c r="AA233" s="44" t="s">
        <v>28</v>
      </c>
      <c r="AB233" s="226">
        <v>300</v>
      </c>
      <c r="AC233" s="226"/>
      <c r="AD233" s="226"/>
      <c r="AE233" s="226"/>
      <c r="AF233" s="248" t="s">
        <v>44</v>
      </c>
      <c r="AG233" s="209"/>
      <c r="AH233" s="209"/>
      <c r="AI233" s="209"/>
      <c r="AJ233" s="209"/>
      <c r="AK233" s="44" t="s">
        <v>28</v>
      </c>
      <c r="AL233" s="297">
        <v>3.43</v>
      </c>
      <c r="AM233" s="298"/>
      <c r="AN233" s="298"/>
      <c r="AO233" s="298"/>
      <c r="AP233" s="298"/>
      <c r="AQ233" s="108"/>
      <c r="AR233" s="108"/>
      <c r="AS233" s="108"/>
      <c r="AT233" s="108"/>
      <c r="AU233" s="108"/>
      <c r="AV233" s="108"/>
      <c r="AW233" s="108"/>
      <c r="AX233" s="108"/>
      <c r="AY233" s="108"/>
      <c r="AZ233" s="135"/>
      <c r="BA233" s="210"/>
      <c r="BB233" s="211"/>
      <c r="BC233" s="211"/>
      <c r="BD233" s="211"/>
      <c r="BE233" s="211"/>
      <c r="BF233" s="212"/>
      <c r="BG233" s="212"/>
      <c r="BH233" s="213"/>
      <c r="BI233" s="87"/>
      <c r="BJ233" s="87"/>
      <c r="BK233" s="87"/>
      <c r="BL233" s="87"/>
      <c r="BM233" s="87"/>
      <c r="BN233" s="87"/>
      <c r="BO233" s="87"/>
      <c r="BP233" s="87"/>
      <c r="BQ233" s="87"/>
      <c r="BR233" s="87"/>
      <c r="BS233" s="87"/>
      <c r="BT233" s="87"/>
      <c r="BU233" s="87"/>
      <c r="BV233" s="87"/>
      <c r="BW233" s="87"/>
      <c r="BX233" s="87"/>
      <c r="BY233" s="87"/>
      <c r="BZ233" s="87"/>
      <c r="CA233" s="87"/>
      <c r="CB233" s="87"/>
      <c r="CC233" s="87"/>
      <c r="CD233" s="87"/>
      <c r="CE233" s="87"/>
      <c r="CF233" s="87"/>
      <c r="CG233" s="87"/>
      <c r="CH233" s="87"/>
      <c r="CI233" s="87"/>
      <c r="CJ233" s="87"/>
      <c r="CK233" s="87"/>
      <c r="CL233" s="87"/>
      <c r="CM233" s="87"/>
      <c r="CN233" s="87"/>
      <c r="CO233" s="87"/>
      <c r="CP233" s="87"/>
      <c r="CQ233" s="87"/>
      <c r="CR233" s="87"/>
      <c r="CS233" s="87"/>
      <c r="CT233" s="87"/>
      <c r="CU233" s="87"/>
      <c r="CV233" s="87"/>
      <c r="CW233" s="87"/>
      <c r="CX233" s="87"/>
      <c r="CY233" s="87"/>
      <c r="CZ233" s="87"/>
      <c r="DA233" s="87"/>
      <c r="DB233" s="119"/>
    </row>
    <row r="234" spans="1:106" s="88" customFormat="1" ht="12" customHeight="1">
      <c r="A234" s="273"/>
      <c r="B234" s="274"/>
      <c r="C234" s="274"/>
      <c r="D234" s="274"/>
      <c r="E234" s="274"/>
      <c r="F234" s="274"/>
      <c r="G234" s="274"/>
      <c r="H234" s="274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4"/>
      <c r="W234" s="275"/>
      <c r="X234" s="224" t="s">
        <v>22</v>
      </c>
      <c r="Y234" s="225"/>
      <c r="Z234" s="225"/>
      <c r="AA234" s="94" t="s">
        <v>28</v>
      </c>
      <c r="AB234" s="226" t="str">
        <f>CONCATENATE(AL232," + [(",AL233," - ", AL232,") / (",AB233," - ", AB232,")] x (",D238," - ",AB232,")  = ")</f>
        <v xml:space="preserve">1,48 + [(3,43 - 1,48) / (300 - 100)] x (107 - 100)  = </v>
      </c>
      <c r="AC234" s="226"/>
      <c r="AD234" s="226"/>
      <c r="AE234" s="226"/>
      <c r="AF234" s="226"/>
      <c r="AG234" s="226"/>
      <c r="AH234" s="226"/>
      <c r="AI234" s="226"/>
      <c r="AJ234" s="226"/>
      <c r="AK234" s="226"/>
      <c r="AL234" s="226"/>
      <c r="AM234" s="226"/>
      <c r="AN234" s="226"/>
      <c r="AO234" s="226"/>
      <c r="AP234" s="226"/>
      <c r="AQ234" s="226"/>
      <c r="AR234" s="226"/>
      <c r="AS234" s="226"/>
      <c r="AT234" s="226"/>
      <c r="AU234" s="226"/>
      <c r="AV234" s="226"/>
      <c r="AW234" s="226"/>
      <c r="AX234" s="226"/>
      <c r="AY234" s="226"/>
      <c r="AZ234" s="227"/>
      <c r="BA234" s="210">
        <f>ROUND(AL232 + ((AL233-AL232) / (AB233-AB232)) * (D238-AB232),2)</f>
        <v>1.55</v>
      </c>
      <c r="BB234" s="211"/>
      <c r="BC234" s="211"/>
      <c r="BD234" s="211"/>
      <c r="BE234" s="211"/>
      <c r="BF234" s="212" t="s">
        <v>163</v>
      </c>
      <c r="BG234" s="212"/>
      <c r="BH234" s="213"/>
      <c r="BI234" s="87"/>
      <c r="BJ234" s="144" t="s">
        <v>171</v>
      </c>
      <c r="BK234" s="87"/>
      <c r="BL234" s="87"/>
      <c r="BM234" s="87"/>
      <c r="BN234" s="87"/>
      <c r="BO234" s="87"/>
      <c r="BP234" s="87"/>
      <c r="BQ234" s="87"/>
      <c r="BR234" s="87"/>
      <c r="BS234" s="87"/>
      <c r="BT234" s="87"/>
      <c r="BU234" s="87"/>
      <c r="BV234" s="87"/>
      <c r="BW234" s="87"/>
      <c r="BX234" s="87"/>
      <c r="BY234" s="87"/>
      <c r="BZ234" s="87"/>
      <c r="CA234" s="87"/>
      <c r="CB234" s="87"/>
      <c r="CC234" s="87"/>
      <c r="CD234" s="87"/>
      <c r="CE234" s="87"/>
      <c r="CF234" s="87"/>
      <c r="CG234" s="87"/>
      <c r="CH234" s="87"/>
      <c r="CI234" s="87"/>
      <c r="CJ234" s="87"/>
      <c r="CK234" s="87"/>
      <c r="CL234" s="87"/>
      <c r="CM234" s="87"/>
      <c r="CN234" s="87"/>
      <c r="CO234" s="87"/>
      <c r="CP234" s="87"/>
      <c r="CQ234" s="87"/>
      <c r="CR234" s="87"/>
      <c r="CS234" s="87"/>
      <c r="CT234" s="87"/>
      <c r="CU234" s="87"/>
      <c r="CV234" s="87"/>
      <c r="CW234" s="87"/>
      <c r="CX234" s="87"/>
      <c r="CY234" s="87"/>
      <c r="CZ234" s="87"/>
      <c r="DA234" s="87"/>
      <c r="DB234" s="119"/>
    </row>
    <row r="235" spans="1:106" s="88" customFormat="1" ht="12" customHeight="1">
      <c r="A235" s="286" t="s">
        <v>229</v>
      </c>
      <c r="B235" s="287"/>
      <c r="C235" s="287"/>
      <c r="D235" s="287"/>
      <c r="E235" s="287"/>
      <c r="F235" s="287"/>
      <c r="G235" s="287"/>
      <c r="H235" s="287"/>
      <c r="I235" s="287"/>
      <c r="J235" s="287"/>
      <c r="K235" s="287"/>
      <c r="L235" s="287"/>
      <c r="M235" s="287"/>
      <c r="N235" s="287"/>
      <c r="O235" s="287"/>
      <c r="P235" s="287"/>
      <c r="Q235" s="287"/>
      <c r="R235" s="287"/>
      <c r="S235" s="287"/>
      <c r="T235" s="287"/>
      <c r="U235" s="287"/>
      <c r="V235" s="287"/>
      <c r="W235" s="288"/>
      <c r="X235" s="208" t="s">
        <v>230</v>
      </c>
      <c r="Y235" s="209"/>
      <c r="Z235" s="209"/>
      <c r="AA235" s="44" t="s">
        <v>28</v>
      </c>
      <c r="AB235" s="276">
        <v>1.1000000000000001</v>
      </c>
      <c r="AC235" s="276"/>
      <c r="AD235" s="276"/>
      <c r="AE235" s="258" t="s">
        <v>184</v>
      </c>
      <c r="AF235" s="258"/>
      <c r="AG235" s="98" t="s">
        <v>28</v>
      </c>
      <c r="AH235" s="407">
        <v>60</v>
      </c>
      <c r="AI235" s="407"/>
      <c r="AJ235" s="407"/>
      <c r="AK235" s="248" t="s">
        <v>189</v>
      </c>
      <c r="AL235" s="248"/>
      <c r="AM235" s="44" t="s">
        <v>28</v>
      </c>
      <c r="AN235" s="226" t="str">
        <f>CONCATENATE("1 + (",AB235," - 1) x ",AH235," / ",D238)</f>
        <v>1 + (1,1 - 1) x 60 / 107</v>
      </c>
      <c r="AO235" s="226"/>
      <c r="AP235" s="226"/>
      <c r="AQ235" s="226"/>
      <c r="AR235" s="226"/>
      <c r="AS235" s="226"/>
      <c r="AT235" s="226"/>
      <c r="AU235" s="226"/>
      <c r="AV235" s="226"/>
      <c r="AW235" s="226"/>
      <c r="AX235" s="226"/>
      <c r="AY235" s="226"/>
      <c r="AZ235" s="110" t="s">
        <v>28</v>
      </c>
      <c r="BA235" s="284">
        <f>ROUND(1 + (AB235 - 1) *(AH235 / D238),2)</f>
        <v>1.06</v>
      </c>
      <c r="BB235" s="285"/>
      <c r="BC235" s="285"/>
      <c r="BD235" s="285"/>
      <c r="BE235" s="285"/>
      <c r="BF235" s="100"/>
      <c r="BG235" s="100"/>
      <c r="BH235" s="101"/>
      <c r="BI235" s="87"/>
      <c r="BJ235" s="87"/>
      <c r="BK235" s="87"/>
      <c r="BL235" s="87"/>
      <c r="BP235" s="87"/>
      <c r="BQ235" s="87"/>
      <c r="BR235" s="87"/>
      <c r="BS235" s="87"/>
      <c r="BT235" s="87"/>
      <c r="BU235" s="87"/>
      <c r="BV235" s="87"/>
      <c r="BW235" s="87"/>
      <c r="BX235" s="87"/>
      <c r="BY235" s="87"/>
      <c r="BZ235" s="87"/>
      <c r="CA235" s="87"/>
      <c r="CB235" s="87"/>
      <c r="CC235" s="87"/>
      <c r="CD235" s="87"/>
      <c r="CE235" s="87"/>
      <c r="CF235" s="87"/>
      <c r="CG235" s="87"/>
      <c r="CH235" s="87"/>
      <c r="CI235" s="87"/>
      <c r="CJ235" s="87"/>
      <c r="CK235" s="87"/>
      <c r="CL235" s="87"/>
      <c r="CM235" s="87"/>
      <c r="CN235" s="87"/>
      <c r="CO235" s="87"/>
      <c r="CP235" s="87"/>
      <c r="CQ235" s="87"/>
      <c r="CR235" s="87"/>
      <c r="CS235" s="87"/>
      <c r="CT235" s="87"/>
      <c r="CU235" s="87"/>
      <c r="CV235" s="87"/>
      <c r="CW235" s="87"/>
      <c r="CX235" s="87"/>
      <c r="CY235" s="87"/>
      <c r="CZ235" s="87"/>
      <c r="DA235" s="87"/>
      <c r="DB235" s="119"/>
    </row>
    <row r="236" spans="1:106" s="88" customFormat="1" ht="12" customHeight="1">
      <c r="A236" s="286" t="s">
        <v>228</v>
      </c>
      <c r="B236" s="287"/>
      <c r="C236" s="287"/>
      <c r="D236" s="287"/>
      <c r="E236" s="287"/>
      <c r="F236" s="287"/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  <c r="Q236" s="287"/>
      <c r="R236" s="287"/>
      <c r="S236" s="287"/>
      <c r="T236" s="287"/>
      <c r="U236" s="287"/>
      <c r="V236" s="287"/>
      <c r="W236" s="288"/>
      <c r="X236" s="208" t="s">
        <v>183</v>
      </c>
      <c r="Y236" s="209"/>
      <c r="Z236" s="209"/>
      <c r="AA236" s="44" t="s">
        <v>28</v>
      </c>
      <c r="AB236" s="276">
        <v>1.2</v>
      </c>
      <c r="AC236" s="276"/>
      <c r="AD236" s="276"/>
      <c r="AE236" s="258" t="s">
        <v>184</v>
      </c>
      <c r="AF236" s="258"/>
      <c r="AG236" s="98" t="s">
        <v>28</v>
      </c>
      <c r="AH236" s="407">
        <v>100</v>
      </c>
      <c r="AI236" s="407"/>
      <c r="AJ236" s="407"/>
      <c r="AK236" s="248" t="s">
        <v>189</v>
      </c>
      <c r="AL236" s="248"/>
      <c r="AM236" s="44" t="s">
        <v>28</v>
      </c>
      <c r="AN236" s="226" t="str">
        <f>CONCATENATE("1 + (1 - ",AB236,") x ",AH236," / ",D238)</f>
        <v>1 + (1 - 1,2) x 100 / 107</v>
      </c>
      <c r="AO236" s="226"/>
      <c r="AP236" s="226"/>
      <c r="AQ236" s="226"/>
      <c r="AR236" s="226"/>
      <c r="AS236" s="226"/>
      <c r="AT236" s="226"/>
      <c r="AU236" s="226"/>
      <c r="AV236" s="226"/>
      <c r="AW236" s="226"/>
      <c r="AX236" s="226"/>
      <c r="AY236" s="226"/>
      <c r="AZ236" s="110" t="s">
        <v>28</v>
      </c>
      <c r="BA236" s="284">
        <f>ROUND(1 + (AB236 - 1) *(AH236 / D238),2)</f>
        <v>1.19</v>
      </c>
      <c r="BB236" s="285"/>
      <c r="BC236" s="285"/>
      <c r="BD236" s="285"/>
      <c r="BE236" s="285"/>
      <c r="BF236" s="100"/>
      <c r="BG236" s="100"/>
      <c r="BH236" s="101"/>
      <c r="BI236" s="87"/>
      <c r="BJ236" s="151">
        <f>(1+(BA235-1)+(BA236-1))</f>
        <v>1.25</v>
      </c>
      <c r="BK236" s="87"/>
      <c r="BL236" s="87"/>
      <c r="BP236" s="87"/>
      <c r="BQ236" s="87"/>
      <c r="BR236" s="87"/>
      <c r="BS236" s="87"/>
      <c r="BT236" s="87"/>
      <c r="BU236" s="87"/>
      <c r="BV236" s="87"/>
      <c r="BW236" s="87"/>
      <c r="BX236" s="87"/>
      <c r="BY236" s="87"/>
      <c r="BZ236" s="87"/>
      <c r="CA236" s="87"/>
      <c r="CB236" s="87"/>
      <c r="CC236" s="87"/>
      <c r="CD236" s="87"/>
      <c r="CE236" s="87"/>
      <c r="CF236" s="87"/>
      <c r="CG236" s="87"/>
      <c r="CH236" s="87"/>
      <c r="CI236" s="87"/>
      <c r="CJ236" s="87"/>
      <c r="CK236" s="87"/>
      <c r="CL236" s="87"/>
      <c r="CM236" s="87"/>
      <c r="CN236" s="87"/>
      <c r="CO236" s="87"/>
      <c r="CP236" s="87"/>
      <c r="CQ236" s="87"/>
      <c r="CR236" s="87"/>
      <c r="CS236" s="87"/>
      <c r="CT236" s="87"/>
      <c r="CU236" s="87"/>
      <c r="CV236" s="87"/>
      <c r="CW236" s="87"/>
      <c r="CX236" s="87"/>
      <c r="CY236" s="87"/>
      <c r="CZ236" s="87"/>
      <c r="DA236" s="87"/>
      <c r="DB236" s="119"/>
    </row>
    <row r="237" spans="1:106" s="88" customFormat="1" ht="12" customHeight="1">
      <c r="A237" s="129"/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1"/>
      <c r="X237" s="224" t="s">
        <v>190</v>
      </c>
      <c r="Y237" s="225"/>
      <c r="Z237" s="225"/>
      <c r="AA237" s="94" t="s">
        <v>28</v>
      </c>
      <c r="AB237" s="226" t="str">
        <f>CONCATENATE(BA234," x [1 + (",BA235," - 1) + (",BA236," - 1)] = ",BA234," x ",BJ236," = ")</f>
        <v xml:space="preserve">1,55 x [1 + (1,06 - 1) + (1,19 - 1)] = 1,55 x 1,25 = </v>
      </c>
      <c r="AC237" s="226"/>
      <c r="AD237" s="226"/>
      <c r="AE237" s="226"/>
      <c r="AF237" s="226"/>
      <c r="AG237" s="226"/>
      <c r="AH237" s="226"/>
      <c r="AI237" s="226"/>
      <c r="AJ237" s="226"/>
      <c r="AK237" s="226"/>
      <c r="AL237" s="226"/>
      <c r="AM237" s="226"/>
      <c r="AN237" s="226"/>
      <c r="AO237" s="226"/>
      <c r="AP237" s="226"/>
      <c r="AQ237" s="226"/>
      <c r="AR237" s="226"/>
      <c r="AS237" s="226"/>
      <c r="AT237" s="226"/>
      <c r="AU237" s="226"/>
      <c r="AV237" s="226"/>
      <c r="AW237" s="226"/>
      <c r="AX237" s="226"/>
      <c r="AY237" s="226"/>
      <c r="AZ237" s="227"/>
      <c r="BA237" s="210">
        <f>ROUND(BA234*BJ236,2)</f>
        <v>1.94</v>
      </c>
      <c r="BB237" s="211"/>
      <c r="BC237" s="211"/>
      <c r="BD237" s="211"/>
      <c r="BE237" s="211"/>
      <c r="BF237" s="212" t="s">
        <v>163</v>
      </c>
      <c r="BG237" s="212"/>
      <c r="BH237" s="213"/>
      <c r="BI237" s="87"/>
      <c r="BJ237" s="144"/>
      <c r="BK237" s="87"/>
      <c r="BL237" s="87"/>
      <c r="BM237" s="87"/>
      <c r="BN237" s="87"/>
      <c r="BO237" s="87"/>
      <c r="BP237" s="87"/>
      <c r="BQ237" s="87"/>
      <c r="BR237" s="87"/>
      <c r="BS237" s="87"/>
      <c r="BT237" s="87"/>
      <c r="BU237" s="87"/>
      <c r="BV237" s="87"/>
      <c r="BW237" s="87"/>
      <c r="BX237" s="87"/>
      <c r="BY237" s="87"/>
      <c r="BZ237" s="87"/>
      <c r="CA237" s="87"/>
      <c r="CB237" s="87"/>
      <c r="CC237" s="87"/>
      <c r="CD237" s="87"/>
      <c r="CE237" s="87"/>
      <c r="CF237" s="87"/>
      <c r="CG237" s="87"/>
      <c r="CH237" s="87"/>
      <c r="CI237" s="87"/>
      <c r="CJ237" s="87"/>
      <c r="CK237" s="87"/>
      <c r="CL237" s="87"/>
      <c r="CM237" s="87"/>
      <c r="CN237" s="87"/>
      <c r="CO237" s="87"/>
      <c r="CP237" s="87"/>
      <c r="CQ237" s="87"/>
      <c r="CR237" s="87"/>
      <c r="CS237" s="87"/>
      <c r="CT237" s="87"/>
      <c r="CU237" s="87"/>
      <c r="CV237" s="87"/>
      <c r="CW237" s="87"/>
      <c r="CX237" s="87"/>
      <c r="CY237" s="87"/>
      <c r="CZ237" s="87"/>
      <c r="DA237" s="87"/>
      <c r="DB237" s="119"/>
    </row>
    <row r="238" spans="1:106" s="88" customFormat="1" ht="12" customHeight="1">
      <c r="A238" s="214" t="s">
        <v>170</v>
      </c>
      <c r="B238" s="215"/>
      <c r="C238" s="113" t="s">
        <v>28</v>
      </c>
      <c r="D238" s="216">
        <v>107</v>
      </c>
      <c r="E238" s="216"/>
      <c r="F238" s="216"/>
      <c r="G238" s="216"/>
      <c r="H238" s="216"/>
      <c r="I238" s="218" t="s">
        <v>235</v>
      </c>
      <c r="J238" s="218"/>
      <c r="K238" s="218"/>
      <c r="L238" s="218"/>
      <c r="M238" s="218"/>
      <c r="N238" s="218"/>
      <c r="O238" s="120"/>
      <c r="P238" s="120"/>
      <c r="Q238" s="120"/>
      <c r="R238" s="215"/>
      <c r="S238" s="215"/>
      <c r="T238" s="113"/>
      <c r="U238" s="217"/>
      <c r="V238" s="218"/>
      <c r="W238" s="219"/>
      <c r="X238" s="220" t="s">
        <v>162</v>
      </c>
      <c r="Y238" s="221"/>
      <c r="Z238" s="221"/>
      <c r="AA238" s="97" t="s">
        <v>28</v>
      </c>
      <c r="AB238" s="222" t="str">
        <f ca="1">CONCATENATE(BA237," x ",$AO$17," x ", AP231," x [1 + 0,5 x (",AW231," - 1)]  = ")</f>
        <v xml:space="preserve">1,94 x 307,7 x 1,1178 x [1 + 0,5 x (1,0377 - 1)]  = </v>
      </c>
      <c r="AC238" s="222"/>
      <c r="AD238" s="222"/>
      <c r="AE238" s="222"/>
      <c r="AF238" s="222"/>
      <c r="AG238" s="222"/>
      <c r="AH238" s="222"/>
      <c r="AI238" s="222"/>
      <c r="AJ238" s="222"/>
      <c r="AK238" s="222"/>
      <c r="AL238" s="222"/>
      <c r="AM238" s="222"/>
      <c r="AN238" s="222"/>
      <c r="AO238" s="222"/>
      <c r="AP238" s="222"/>
      <c r="AQ238" s="222"/>
      <c r="AR238" s="222"/>
      <c r="AS238" s="222"/>
      <c r="AT238" s="222"/>
      <c r="AU238" s="222"/>
      <c r="AV238" s="222"/>
      <c r="AW238" s="222"/>
      <c r="AX238" s="222"/>
      <c r="AY238" s="222"/>
      <c r="AZ238" s="223"/>
      <c r="BA238" s="268">
        <f ca="1">ROUND(BA237*$AO$17*AP231*(1+0.5*(AW231-1)),2)</f>
        <v>679.84</v>
      </c>
      <c r="BB238" s="269"/>
      <c r="BC238" s="269"/>
      <c r="BD238" s="269"/>
      <c r="BE238" s="269"/>
      <c r="BF238" s="270" t="s">
        <v>23</v>
      </c>
      <c r="BG238" s="270"/>
      <c r="BH238" s="271"/>
      <c r="BI238" s="87"/>
      <c r="BJ238" s="87"/>
      <c r="BK238" s="87"/>
      <c r="BL238" s="87"/>
      <c r="BM238" s="87"/>
      <c r="BN238" s="87"/>
      <c r="BO238" s="87"/>
      <c r="BP238" s="87"/>
      <c r="BQ238" s="87"/>
      <c r="BR238" s="87"/>
      <c r="BS238" s="87"/>
      <c r="BT238" s="87"/>
      <c r="BU238" s="87"/>
      <c r="BV238" s="87"/>
      <c r="BW238" s="87"/>
      <c r="BX238" s="87"/>
      <c r="BY238" s="87"/>
      <c r="BZ238" s="87"/>
      <c r="CA238" s="87"/>
      <c r="CB238" s="87"/>
      <c r="CC238" s="87"/>
      <c r="CD238" s="87"/>
      <c r="CE238" s="87"/>
      <c r="CF238" s="87"/>
      <c r="CG238" s="87"/>
      <c r="CH238" s="87"/>
      <c r="CI238" s="87"/>
      <c r="CJ238" s="87"/>
      <c r="CK238" s="87"/>
      <c r="CL238" s="87"/>
      <c r="CM238" s="87"/>
      <c r="CN238" s="87"/>
      <c r="CO238" s="87"/>
      <c r="CP238" s="87"/>
      <c r="CQ238" s="87"/>
      <c r="CR238" s="87"/>
      <c r="CS238" s="87"/>
      <c r="CT238" s="87"/>
      <c r="CU238" s="87"/>
      <c r="CV238" s="87"/>
      <c r="CW238" s="87"/>
      <c r="CX238" s="87"/>
      <c r="CY238" s="87"/>
      <c r="CZ238" s="87"/>
      <c r="DA238" s="87"/>
      <c r="DB238" s="119"/>
    </row>
    <row r="239" spans="1:106" s="88" customFormat="1" ht="12" customHeight="1">
      <c r="A239" s="241" t="s">
        <v>240</v>
      </c>
      <c r="B239" s="242"/>
      <c r="C239" s="242"/>
      <c r="D239" s="242"/>
      <c r="E239" s="242"/>
      <c r="F239" s="242"/>
      <c r="G239" s="242"/>
      <c r="H239" s="242"/>
      <c r="I239" s="242"/>
      <c r="J239" s="242"/>
      <c r="K239" s="242"/>
      <c r="L239" s="242"/>
      <c r="M239" s="242"/>
      <c r="N239" s="242"/>
      <c r="O239" s="242"/>
      <c r="P239" s="242"/>
      <c r="Q239" s="242"/>
      <c r="R239" s="242"/>
      <c r="S239" s="242"/>
      <c r="T239" s="242"/>
      <c r="U239" s="242"/>
      <c r="V239" s="242"/>
      <c r="W239" s="243"/>
      <c r="X239" s="244" t="s">
        <v>45</v>
      </c>
      <c r="Y239" s="245"/>
      <c r="Z239" s="245"/>
      <c r="AA239" s="245"/>
      <c r="AB239" s="253">
        <f ca="1">график!C35</f>
        <v>45536</v>
      </c>
      <c r="AC239" s="246"/>
      <c r="AD239" s="246"/>
      <c r="AE239" s="246"/>
      <c r="AF239" s="246"/>
      <c r="AG239" s="93" t="s">
        <v>1</v>
      </c>
      <c r="AH239" s="254">
        <f ca="1">график!E35</f>
        <v>45658</v>
      </c>
      <c r="AI239" s="247"/>
      <c r="AJ239" s="247"/>
      <c r="AK239" s="247"/>
      <c r="AL239" s="247"/>
      <c r="AM239" s="255" t="s">
        <v>158</v>
      </c>
      <c r="AN239" s="255"/>
      <c r="AO239" s="91" t="s">
        <v>28</v>
      </c>
      <c r="AP239" s="256">
        <f ca="1">график!F35</f>
        <v>1.1177999999999999</v>
      </c>
      <c r="AQ239" s="256"/>
      <c r="AR239" s="256"/>
      <c r="AS239" s="256"/>
      <c r="AT239" s="255" t="s">
        <v>159</v>
      </c>
      <c r="AU239" s="255"/>
      <c r="AV239" s="91" t="s">
        <v>28</v>
      </c>
      <c r="AW239" s="228">
        <f ca="1">график!G35</f>
        <v>1.0377000000000001</v>
      </c>
      <c r="AX239" s="228"/>
      <c r="AY239" s="228"/>
      <c r="AZ239" s="229"/>
      <c r="BA239" s="230"/>
      <c r="BB239" s="231"/>
      <c r="BC239" s="231"/>
      <c r="BD239" s="231"/>
      <c r="BE239" s="231"/>
      <c r="BF239" s="231"/>
      <c r="BG239" s="231"/>
      <c r="BH239" s="232"/>
      <c r="BI239" s="87"/>
      <c r="BJ239" s="87"/>
      <c r="BK239" s="87"/>
      <c r="BL239" s="87"/>
      <c r="BM239" s="87"/>
      <c r="BN239" s="87"/>
      <c r="BO239" s="87"/>
      <c r="BP239" s="87"/>
      <c r="BQ239" s="87"/>
      <c r="BR239" s="87"/>
      <c r="BS239" s="87"/>
      <c r="BT239" s="87"/>
      <c r="BU239" s="87"/>
      <c r="BV239" s="87"/>
      <c r="BW239" s="87"/>
      <c r="BX239" s="87"/>
      <c r="BY239" s="87"/>
      <c r="BZ239" s="87"/>
      <c r="CA239" s="87"/>
      <c r="CB239" s="87"/>
      <c r="CC239" s="87"/>
      <c r="CD239" s="87"/>
      <c r="CE239" s="87"/>
      <c r="CF239" s="87"/>
      <c r="CG239" s="87"/>
      <c r="CH239" s="87"/>
      <c r="CI239" s="87"/>
      <c r="CJ239" s="87"/>
      <c r="CK239" s="87"/>
      <c r="CL239" s="87"/>
      <c r="CM239" s="87"/>
      <c r="CN239" s="87"/>
      <c r="CO239" s="87"/>
      <c r="CP239" s="87"/>
      <c r="CQ239" s="87"/>
      <c r="CR239" s="87"/>
      <c r="CS239" s="87"/>
      <c r="CT239" s="87"/>
      <c r="CU239" s="87"/>
      <c r="CV239" s="87"/>
      <c r="CW239" s="87"/>
      <c r="CX239" s="87"/>
      <c r="CY239" s="87"/>
      <c r="CZ239" s="87"/>
      <c r="DA239" s="87"/>
      <c r="DB239" s="119"/>
    </row>
    <row r="240" spans="1:106" s="88" customFormat="1" ht="12" customHeight="1">
      <c r="A240" s="273" t="s">
        <v>232</v>
      </c>
      <c r="B240" s="274"/>
      <c r="C240" s="274"/>
      <c r="D240" s="274"/>
      <c r="E240" s="274"/>
      <c r="F240" s="274"/>
      <c r="G240" s="274"/>
      <c r="H240" s="274"/>
      <c r="I240" s="274"/>
      <c r="J240" s="274"/>
      <c r="K240" s="274"/>
      <c r="L240" s="274"/>
      <c r="M240" s="274"/>
      <c r="N240" s="274"/>
      <c r="O240" s="274"/>
      <c r="P240" s="274"/>
      <c r="Q240" s="274"/>
      <c r="R240" s="274"/>
      <c r="S240" s="274"/>
      <c r="T240" s="274"/>
      <c r="U240" s="274"/>
      <c r="V240" s="274"/>
      <c r="W240" s="275"/>
      <c r="X240" s="208" t="s">
        <v>39</v>
      </c>
      <c r="Y240" s="209"/>
      <c r="Z240" s="209"/>
      <c r="AA240" s="44" t="s">
        <v>28</v>
      </c>
      <c r="AB240" s="276">
        <v>0.5</v>
      </c>
      <c r="AC240" s="276"/>
      <c r="AD240" s="276"/>
      <c r="AE240" s="276"/>
      <c r="AF240" s="248" t="s">
        <v>40</v>
      </c>
      <c r="AG240" s="209"/>
      <c r="AH240" s="209"/>
      <c r="AI240" s="209"/>
      <c r="AJ240" s="209"/>
      <c r="AK240" s="44" t="s">
        <v>28</v>
      </c>
      <c r="AL240" s="289">
        <v>5</v>
      </c>
      <c r="AM240" s="290"/>
      <c r="AN240" s="290"/>
      <c r="AO240" s="290"/>
      <c r="AP240" s="290"/>
      <c r="AQ240" s="258"/>
      <c r="AR240" s="258"/>
      <c r="AS240" s="272"/>
      <c r="AT240" s="272"/>
      <c r="AU240" s="272"/>
      <c r="AV240" s="98"/>
      <c r="AW240" s="263"/>
      <c r="AX240" s="226"/>
      <c r="AY240" s="226"/>
      <c r="AZ240" s="227"/>
      <c r="BA240" s="210"/>
      <c r="BB240" s="211"/>
      <c r="BC240" s="211"/>
      <c r="BD240" s="211"/>
      <c r="BE240" s="211"/>
      <c r="BF240" s="212"/>
      <c r="BG240" s="212"/>
      <c r="BH240" s="213"/>
      <c r="BI240" s="87"/>
      <c r="BJ240" s="87"/>
      <c r="BK240" s="87"/>
      <c r="BL240" s="87"/>
      <c r="BM240" s="87"/>
      <c r="BN240" s="87"/>
      <c r="BO240" s="87"/>
      <c r="BP240" s="87"/>
      <c r="BQ240" s="87"/>
      <c r="BR240" s="87"/>
      <c r="BS240" s="87"/>
      <c r="BT240" s="87"/>
      <c r="BU240" s="87"/>
      <c r="BV240" s="87"/>
      <c r="BW240" s="87"/>
      <c r="BX240" s="87"/>
      <c r="BY240" s="87"/>
      <c r="BZ240" s="87"/>
      <c r="CA240" s="87"/>
      <c r="CB240" s="87"/>
      <c r="CC240" s="87"/>
      <c r="CD240" s="87"/>
      <c r="CE240" s="87"/>
      <c r="CF240" s="87"/>
      <c r="CG240" s="87"/>
      <c r="CH240" s="87"/>
      <c r="CI240" s="87"/>
      <c r="CJ240" s="87"/>
      <c r="CK240" s="87"/>
      <c r="CL240" s="87"/>
      <c r="CM240" s="87"/>
      <c r="CN240" s="87"/>
      <c r="CO240" s="87"/>
      <c r="CP240" s="87"/>
      <c r="CQ240" s="87"/>
      <c r="CR240" s="87"/>
      <c r="CS240" s="87"/>
      <c r="CT240" s="87"/>
      <c r="CU240" s="87"/>
      <c r="CV240" s="87"/>
      <c r="CW240" s="87"/>
      <c r="CX240" s="87"/>
      <c r="CY240" s="87"/>
      <c r="CZ240" s="87"/>
      <c r="DA240" s="87"/>
      <c r="DB240" s="119"/>
    </row>
    <row r="241" spans="1:106" s="88" customFormat="1" ht="12" customHeight="1">
      <c r="A241" s="273"/>
      <c r="B241" s="274"/>
      <c r="C241" s="274"/>
      <c r="D241" s="274"/>
      <c r="E241" s="274"/>
      <c r="F241" s="274"/>
      <c r="G241" s="274"/>
      <c r="H241" s="274"/>
      <c r="I241" s="274"/>
      <c r="J241" s="274"/>
      <c r="K241" s="274"/>
      <c r="L241" s="274"/>
      <c r="M241" s="274"/>
      <c r="N241" s="274"/>
      <c r="O241" s="274"/>
      <c r="P241" s="274"/>
      <c r="Q241" s="274"/>
      <c r="R241" s="274"/>
      <c r="S241" s="274"/>
      <c r="T241" s="274"/>
      <c r="U241" s="274"/>
      <c r="V241" s="274"/>
      <c r="W241" s="275"/>
      <c r="X241" s="208" t="s">
        <v>43</v>
      </c>
      <c r="Y241" s="209"/>
      <c r="Z241" s="209"/>
      <c r="AA241" s="44" t="s">
        <v>28</v>
      </c>
      <c r="AB241" s="226">
        <v>1</v>
      </c>
      <c r="AC241" s="226"/>
      <c r="AD241" s="226"/>
      <c r="AE241" s="226"/>
      <c r="AF241" s="248" t="s">
        <v>44</v>
      </c>
      <c r="AG241" s="209"/>
      <c r="AH241" s="209"/>
      <c r="AI241" s="209"/>
      <c r="AJ241" s="209"/>
      <c r="AK241" s="44" t="s">
        <v>28</v>
      </c>
      <c r="AL241" s="289">
        <v>9.3000000000000007</v>
      </c>
      <c r="AM241" s="290"/>
      <c r="AN241" s="290"/>
      <c r="AO241" s="290"/>
      <c r="AP241" s="290"/>
      <c r="AQ241" s="108"/>
      <c r="AR241" s="108"/>
      <c r="AS241" s="108"/>
      <c r="AT241" s="108"/>
      <c r="AU241" s="108"/>
      <c r="AV241" s="108"/>
      <c r="AW241" s="108"/>
      <c r="AX241" s="108"/>
      <c r="AY241" s="108"/>
      <c r="AZ241" s="135"/>
      <c r="BA241" s="210"/>
      <c r="BB241" s="211"/>
      <c r="BC241" s="211"/>
      <c r="BD241" s="211"/>
      <c r="BE241" s="211"/>
      <c r="BF241" s="212"/>
      <c r="BG241" s="212"/>
      <c r="BH241" s="213"/>
      <c r="BI241" s="87"/>
      <c r="BJ241" s="87"/>
      <c r="BK241" s="87"/>
      <c r="BL241" s="87"/>
      <c r="BM241" s="87"/>
      <c r="BN241" s="87"/>
      <c r="BO241" s="87"/>
      <c r="BP241" s="87"/>
      <c r="BQ241" s="87"/>
      <c r="BR241" s="87"/>
      <c r="BS241" s="87"/>
      <c r="BT241" s="87"/>
      <c r="BU241" s="87"/>
      <c r="BV241" s="87"/>
      <c r="BW241" s="87"/>
      <c r="BX241" s="87"/>
      <c r="BY241" s="87"/>
      <c r="BZ241" s="87"/>
      <c r="CA241" s="87"/>
      <c r="CB241" s="87"/>
      <c r="CC241" s="87"/>
      <c r="CD241" s="87"/>
      <c r="CE241" s="87"/>
      <c r="CF241" s="87"/>
      <c r="CG241" s="87"/>
      <c r="CH241" s="87"/>
      <c r="CI241" s="87"/>
      <c r="CJ241" s="87"/>
      <c r="CK241" s="87"/>
      <c r="CL241" s="87"/>
      <c r="CM241" s="87"/>
      <c r="CN241" s="87"/>
      <c r="CO241" s="87"/>
      <c r="CP241" s="87"/>
      <c r="CQ241" s="87"/>
      <c r="CR241" s="87"/>
      <c r="CS241" s="87"/>
      <c r="CT241" s="87"/>
      <c r="CU241" s="87"/>
      <c r="CV241" s="87"/>
      <c r="CW241" s="87"/>
      <c r="CX241" s="87"/>
      <c r="CY241" s="87"/>
      <c r="CZ241" s="87"/>
      <c r="DA241" s="87"/>
      <c r="DB241" s="119"/>
    </row>
    <row r="242" spans="1:106" s="88" customFormat="1" ht="12" customHeight="1">
      <c r="A242" s="273"/>
      <c r="B242" s="274"/>
      <c r="C242" s="274"/>
      <c r="D242" s="274"/>
      <c r="E242" s="274"/>
      <c r="F242" s="274"/>
      <c r="G242" s="274"/>
      <c r="H242" s="274"/>
      <c r="I242" s="274"/>
      <c r="J242" s="274"/>
      <c r="K242" s="274"/>
      <c r="L242" s="274"/>
      <c r="M242" s="274"/>
      <c r="N242" s="274"/>
      <c r="O242" s="274"/>
      <c r="P242" s="274"/>
      <c r="Q242" s="274"/>
      <c r="R242" s="274"/>
      <c r="S242" s="274"/>
      <c r="T242" s="274"/>
      <c r="U242" s="274"/>
      <c r="V242" s="274"/>
      <c r="W242" s="275"/>
      <c r="X242" s="224" t="s">
        <v>22</v>
      </c>
      <c r="Y242" s="225"/>
      <c r="Z242" s="225"/>
      <c r="AA242" s="94" t="s">
        <v>28</v>
      </c>
      <c r="AB242" s="226" t="str">
        <f>CONCATENATE(AL240," + [(",AL241," - ", AL240,") / (",AB241," - ", AB240,")] x (",D243," - ",AB240,")  = ")</f>
        <v xml:space="preserve">5 + [(9,3 - 5) / (1 - 0,5)] x (0,79 - 0,5)  = </v>
      </c>
      <c r="AC242" s="226"/>
      <c r="AD242" s="226"/>
      <c r="AE242" s="226"/>
      <c r="AF242" s="226"/>
      <c r="AG242" s="226"/>
      <c r="AH242" s="226"/>
      <c r="AI242" s="226"/>
      <c r="AJ242" s="226"/>
      <c r="AK242" s="226"/>
      <c r="AL242" s="226"/>
      <c r="AM242" s="226"/>
      <c r="AN242" s="226"/>
      <c r="AO242" s="226"/>
      <c r="AP242" s="226"/>
      <c r="AQ242" s="226"/>
      <c r="AR242" s="226"/>
      <c r="AS242" s="226"/>
      <c r="AT242" s="226"/>
      <c r="AU242" s="226"/>
      <c r="AV242" s="226"/>
      <c r="AW242" s="226"/>
      <c r="AX242" s="226"/>
      <c r="AY242" s="226"/>
      <c r="AZ242" s="227"/>
      <c r="BA242" s="210">
        <f>ROUND(AL240 + ((AL241-AL240) / (AB241-AB240)) * (D243-AB240),2)</f>
        <v>7.49</v>
      </c>
      <c r="BB242" s="211"/>
      <c r="BC242" s="211"/>
      <c r="BD242" s="211"/>
      <c r="BE242" s="211"/>
      <c r="BF242" s="212" t="s">
        <v>163</v>
      </c>
      <c r="BG242" s="212"/>
      <c r="BH242" s="213"/>
      <c r="BI242" s="87"/>
      <c r="BJ242" s="144" t="s">
        <v>171</v>
      </c>
      <c r="BK242" s="87"/>
      <c r="BL242" s="87"/>
      <c r="BM242" s="87"/>
      <c r="BN242" s="87"/>
      <c r="BO242" s="87"/>
      <c r="BP242" s="87"/>
      <c r="BQ242" s="87"/>
      <c r="BR242" s="87"/>
      <c r="BS242" s="87"/>
      <c r="BT242" s="87"/>
      <c r="BU242" s="87"/>
      <c r="BV242" s="87"/>
      <c r="BW242" s="87"/>
      <c r="BX242" s="87"/>
      <c r="BY242" s="87"/>
      <c r="BZ242" s="87"/>
      <c r="CA242" s="87"/>
      <c r="CB242" s="87"/>
      <c r="CC242" s="87"/>
      <c r="CD242" s="87"/>
      <c r="CE242" s="87"/>
      <c r="CF242" s="87"/>
      <c r="CG242" s="87"/>
      <c r="CH242" s="87"/>
      <c r="CI242" s="87"/>
      <c r="CJ242" s="87"/>
      <c r="CK242" s="87"/>
      <c r="CL242" s="87"/>
      <c r="CM242" s="87"/>
      <c r="CN242" s="87"/>
      <c r="CO242" s="87"/>
      <c r="CP242" s="87"/>
      <c r="CQ242" s="87"/>
      <c r="CR242" s="87"/>
      <c r="CS242" s="87"/>
      <c r="CT242" s="87"/>
      <c r="CU242" s="87"/>
      <c r="CV242" s="87"/>
      <c r="CW242" s="87"/>
      <c r="CX242" s="87"/>
      <c r="CY242" s="87"/>
      <c r="CZ242" s="87"/>
      <c r="DA242" s="87"/>
      <c r="DB242" s="119"/>
    </row>
    <row r="243" spans="1:106" s="88" customFormat="1" ht="12" customHeight="1">
      <c r="A243" s="214" t="s">
        <v>170</v>
      </c>
      <c r="B243" s="215"/>
      <c r="C243" s="113" t="s">
        <v>28</v>
      </c>
      <c r="D243" s="305">
        <v>0.79</v>
      </c>
      <c r="E243" s="305"/>
      <c r="F243" s="305"/>
      <c r="G243" s="305"/>
      <c r="H243" s="305"/>
      <c r="I243" s="218" t="s">
        <v>236</v>
      </c>
      <c r="J243" s="218"/>
      <c r="K243" s="218"/>
      <c r="L243" s="218"/>
      <c r="M243" s="218"/>
      <c r="N243" s="218"/>
      <c r="O243" s="120"/>
      <c r="P243" s="120"/>
      <c r="Q243" s="120"/>
      <c r="R243" s="215"/>
      <c r="S243" s="215"/>
      <c r="T243" s="113"/>
      <c r="U243" s="217"/>
      <c r="V243" s="218"/>
      <c r="W243" s="219"/>
      <c r="X243" s="220" t="s">
        <v>162</v>
      </c>
      <c r="Y243" s="221"/>
      <c r="Z243" s="221"/>
      <c r="AA243" s="97" t="s">
        <v>28</v>
      </c>
      <c r="AB243" s="222" t="str">
        <f ca="1">CONCATENATE(BA242," x ",$AO$17," x ", AP239," x [1 + 0,5 x (",AW239," - 1)]  = ")</f>
        <v xml:space="preserve">7,49 x 307,7 x 1,1178 x [1 + 0,5 x (1,0377 - 1)]  = </v>
      </c>
      <c r="AC243" s="222"/>
      <c r="AD243" s="222"/>
      <c r="AE243" s="222"/>
      <c r="AF243" s="222"/>
      <c r="AG243" s="222"/>
      <c r="AH243" s="222"/>
      <c r="AI243" s="222"/>
      <c r="AJ243" s="222"/>
      <c r="AK243" s="222"/>
      <c r="AL243" s="222"/>
      <c r="AM243" s="222"/>
      <c r="AN243" s="222"/>
      <c r="AO243" s="222"/>
      <c r="AP243" s="222"/>
      <c r="AQ243" s="222"/>
      <c r="AR243" s="222"/>
      <c r="AS243" s="222"/>
      <c r="AT243" s="222"/>
      <c r="AU243" s="222"/>
      <c r="AV243" s="222"/>
      <c r="AW243" s="222"/>
      <c r="AX243" s="222"/>
      <c r="AY243" s="222"/>
      <c r="AZ243" s="223"/>
      <c r="BA243" s="268">
        <f ca="1">ROUND(BA242*$AO$17*AP239*(1+0.5*(AW239-1)),2)</f>
        <v>2624.72</v>
      </c>
      <c r="BB243" s="269"/>
      <c r="BC243" s="269"/>
      <c r="BD243" s="269"/>
      <c r="BE243" s="269"/>
      <c r="BF243" s="270" t="s">
        <v>23</v>
      </c>
      <c r="BG243" s="270"/>
      <c r="BH243" s="271"/>
      <c r="BI243" s="87"/>
      <c r="BJ243" s="87"/>
      <c r="BK243" s="87"/>
      <c r="BL243" s="87"/>
      <c r="BM243" s="87"/>
      <c r="BN243" s="87"/>
      <c r="BO243" s="87"/>
      <c r="BP243" s="87"/>
      <c r="BQ243" s="87"/>
      <c r="BR243" s="87"/>
      <c r="BS243" s="87"/>
      <c r="BT243" s="87"/>
      <c r="BU243" s="87"/>
      <c r="BV243" s="87"/>
      <c r="BW243" s="87"/>
      <c r="BX243" s="87"/>
      <c r="BY243" s="87"/>
      <c r="BZ243" s="87"/>
      <c r="CA243" s="87"/>
      <c r="CB243" s="87"/>
      <c r="CC243" s="87"/>
      <c r="CD243" s="87"/>
      <c r="CE243" s="87"/>
      <c r="CF243" s="87"/>
      <c r="CG243" s="87"/>
      <c r="CH243" s="87"/>
      <c r="CI243" s="87"/>
      <c r="CJ243" s="87"/>
      <c r="CK243" s="87"/>
      <c r="CL243" s="87"/>
      <c r="CM243" s="87"/>
      <c r="CN243" s="87"/>
      <c r="CO243" s="87"/>
      <c r="CP243" s="87"/>
      <c r="CQ243" s="87"/>
      <c r="CR243" s="87"/>
      <c r="CS243" s="87"/>
      <c r="CT243" s="87"/>
      <c r="CU243" s="87"/>
      <c r="CV243" s="87"/>
      <c r="CW243" s="87"/>
      <c r="CX243" s="87"/>
      <c r="CY243" s="87"/>
      <c r="CZ243" s="87"/>
      <c r="DA243" s="87"/>
      <c r="DB243" s="119"/>
    </row>
    <row r="244" spans="1:106" ht="12" customHeight="1">
      <c r="A244" s="103" t="s">
        <v>221</v>
      </c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5"/>
      <c r="AL244" s="105"/>
      <c r="AM244" s="105"/>
      <c r="AN244" s="105"/>
      <c r="AO244" s="105"/>
      <c r="AP244" s="105"/>
      <c r="AQ244" s="106"/>
      <c r="AR244" s="107"/>
      <c r="AS244" s="106"/>
      <c r="AT244" s="106"/>
      <c r="AU244" s="106"/>
      <c r="AV244" s="106"/>
      <c r="AW244" s="291" t="s">
        <v>22</v>
      </c>
      <c r="AX244" s="291"/>
      <c r="AY244" s="291"/>
      <c r="AZ244" s="156" t="s">
        <v>28</v>
      </c>
      <c r="BA244" s="292">
        <f>BA229+BA237+BA242</f>
        <v>97.839999999999989</v>
      </c>
      <c r="BB244" s="292"/>
      <c r="BC244" s="292"/>
      <c r="BD244" s="292"/>
      <c r="BE244" s="292"/>
      <c r="BF244" s="157" t="s">
        <v>163</v>
      </c>
      <c r="BG244" s="157"/>
      <c r="BH244" s="158"/>
    </row>
    <row r="245" spans="1:106" s="88" customFormat="1" ht="12" customHeight="1">
      <c r="A245" s="264" t="s">
        <v>160</v>
      </c>
      <c r="B245" s="265"/>
      <c r="C245" s="265"/>
      <c r="D245" s="265"/>
      <c r="E245" s="265"/>
      <c r="F245" s="265"/>
      <c r="G245" s="265"/>
      <c r="H245" s="265"/>
      <c r="I245" s="265"/>
      <c r="J245" s="265"/>
      <c r="K245" s="265"/>
      <c r="L245" s="265"/>
      <c r="M245" s="265"/>
      <c r="N245" s="265"/>
      <c r="O245" s="265"/>
      <c r="P245" s="265"/>
      <c r="Q245" s="265"/>
      <c r="R245" s="265"/>
      <c r="S245" s="265"/>
      <c r="T245" s="265"/>
      <c r="U245" s="265"/>
      <c r="V245" s="265"/>
      <c r="W245" s="265"/>
      <c r="X245" s="111"/>
      <c r="Y245" s="111"/>
      <c r="Z245" s="111"/>
      <c r="AA245" s="111"/>
      <c r="AB245" s="114"/>
      <c r="AC245" s="114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  <c r="AT245" s="115"/>
      <c r="AU245" s="115"/>
      <c r="AV245" s="116"/>
      <c r="AW245" s="266" t="s">
        <v>167</v>
      </c>
      <c r="AX245" s="266"/>
      <c r="AY245" s="266"/>
      <c r="AZ245" s="112" t="s">
        <v>28</v>
      </c>
      <c r="BA245" s="260">
        <f ca="1">BA230+BA238+BA243</f>
        <v>34286.120000000003</v>
      </c>
      <c r="BB245" s="260"/>
      <c r="BC245" s="260"/>
      <c r="BD245" s="260"/>
      <c r="BE245" s="260"/>
      <c r="BF245" s="261" t="s">
        <v>23</v>
      </c>
      <c r="BG245" s="261"/>
      <c r="BH245" s="262"/>
      <c r="BI245" s="87"/>
      <c r="BJ245" s="87"/>
      <c r="BK245" s="87"/>
      <c r="BL245" s="87"/>
      <c r="BM245" s="87"/>
      <c r="BN245" s="87"/>
      <c r="BO245" s="87"/>
      <c r="BP245" s="87"/>
      <c r="BQ245" s="87"/>
      <c r="BR245" s="87"/>
      <c r="BS245" s="87"/>
      <c r="BT245" s="87"/>
      <c r="BU245" s="87"/>
      <c r="BV245" s="87"/>
      <c r="BW245" s="87"/>
      <c r="BX245" s="87"/>
      <c r="BY245" s="87"/>
      <c r="BZ245" s="87"/>
      <c r="CA245" s="87"/>
      <c r="CB245" s="87"/>
      <c r="CC245" s="87"/>
      <c r="CD245" s="87"/>
      <c r="CE245" s="87"/>
      <c r="CF245" s="87"/>
      <c r="CG245" s="87"/>
      <c r="CH245" s="87"/>
      <c r="CI245" s="87"/>
      <c r="CJ245" s="87"/>
      <c r="CK245" s="87"/>
      <c r="CL245" s="87"/>
      <c r="CM245" s="87"/>
      <c r="CN245" s="87"/>
      <c r="CO245" s="87"/>
      <c r="CP245" s="87"/>
      <c r="CQ245" s="87"/>
      <c r="CR245" s="87"/>
      <c r="CS245" s="87"/>
      <c r="CT245" s="87"/>
      <c r="CU245" s="87"/>
      <c r="CV245" s="87"/>
      <c r="CW245" s="87"/>
      <c r="CX245" s="87"/>
      <c r="CY245" s="87"/>
      <c r="CZ245" s="87"/>
      <c r="DA245" s="87"/>
      <c r="DB245" s="119"/>
    </row>
    <row r="246" spans="1:106" s="1" customFormat="1" ht="13.5" customHeight="1">
      <c r="A246" s="249" t="str">
        <f ca="1">график!A36</f>
        <v>9</v>
      </c>
      <c r="B246" s="250"/>
      <c r="C246" s="236" t="str">
        <f ca="1">график!B36</f>
        <v>УСЛУГИ ПО ТЕХНИЧЕСКОМУ НАДЗОРУ ЗА ВЫПОЛНЕНИЕМ СТРОИТЕЛЬНЫХ РАБОТ</v>
      </c>
      <c r="D246" s="237"/>
      <c r="E246" s="237"/>
      <c r="F246" s="237"/>
      <c r="G246" s="237"/>
      <c r="H246" s="237"/>
      <c r="I246" s="237"/>
      <c r="J246" s="237"/>
      <c r="K246" s="237"/>
      <c r="L246" s="237"/>
      <c r="M246" s="237"/>
      <c r="N246" s="237"/>
      <c r="O246" s="237"/>
      <c r="P246" s="237"/>
      <c r="Q246" s="237"/>
      <c r="R246" s="237"/>
      <c r="S246" s="237"/>
      <c r="T246" s="237"/>
      <c r="U246" s="237"/>
      <c r="V246" s="237"/>
      <c r="W246" s="237"/>
      <c r="X246" s="237"/>
      <c r="Y246" s="237"/>
      <c r="Z246" s="237"/>
      <c r="AA246" s="237"/>
      <c r="AB246" s="237"/>
      <c r="AC246" s="237"/>
      <c r="AD246" s="237"/>
      <c r="AE246" s="237"/>
      <c r="AF246" s="237"/>
      <c r="AG246" s="237"/>
      <c r="AH246" s="237"/>
      <c r="AI246" s="237"/>
      <c r="AJ246" s="237"/>
      <c r="AK246" s="237"/>
      <c r="AL246" s="237"/>
      <c r="AM246" s="237"/>
      <c r="AN246" s="237"/>
      <c r="AO246" s="237"/>
      <c r="AP246" s="237"/>
      <c r="AQ246" s="237"/>
      <c r="AR246" s="237"/>
      <c r="AS246" s="237"/>
      <c r="AT246" s="237"/>
      <c r="AU246" s="237"/>
      <c r="AV246" s="237"/>
      <c r="AW246" s="237"/>
      <c r="AX246" s="237"/>
      <c r="AY246" s="237"/>
      <c r="AZ246" s="237"/>
      <c r="BA246" s="237"/>
      <c r="BB246" s="237"/>
      <c r="BC246" s="237"/>
      <c r="BD246" s="237"/>
      <c r="BE246" s="237"/>
      <c r="BF246" s="237"/>
      <c r="BG246" s="237"/>
      <c r="BH246" s="238"/>
      <c r="BI246" s="87"/>
    </row>
    <row r="247" spans="1:106" s="90" customFormat="1" ht="12" customHeight="1">
      <c r="A247" s="239" t="str">
        <f ca="1">график!A37</f>
        <v>9.1</v>
      </c>
      <c r="B247" s="240"/>
      <c r="C247" s="205" t="str">
        <f ca="1">график!B37</f>
        <v>осуществление технического надзора за выполнением строительных, монтажных и пусконаладочных работ в объеме, предусмотренном действующим законодательством</v>
      </c>
      <c r="D247" s="205"/>
      <c r="E247" s="205"/>
      <c r="F247" s="205"/>
      <c r="G247" s="205"/>
      <c r="H247" s="205"/>
      <c r="I247" s="205"/>
      <c r="J247" s="205"/>
      <c r="K247" s="205"/>
      <c r="L247" s="205"/>
      <c r="M247" s="205"/>
      <c r="N247" s="205"/>
      <c r="O247" s="205"/>
      <c r="P247" s="205"/>
      <c r="Q247" s="205"/>
      <c r="R247" s="205"/>
      <c r="S247" s="205"/>
      <c r="T247" s="205"/>
      <c r="U247" s="205"/>
      <c r="V247" s="205"/>
      <c r="W247" s="205"/>
      <c r="X247" s="205"/>
      <c r="Y247" s="205"/>
      <c r="Z247" s="205"/>
      <c r="AA247" s="205"/>
      <c r="AB247" s="205"/>
      <c r="AC247" s="205"/>
      <c r="AD247" s="205"/>
      <c r="AE247" s="205"/>
      <c r="AF247" s="205"/>
      <c r="AG247" s="205"/>
      <c r="AH247" s="205"/>
      <c r="AI247" s="205"/>
      <c r="AJ247" s="205"/>
      <c r="AK247" s="205"/>
      <c r="AL247" s="205"/>
      <c r="AM247" s="205"/>
      <c r="AN247" s="205"/>
      <c r="AO247" s="205"/>
      <c r="AP247" s="205"/>
      <c r="AQ247" s="205"/>
      <c r="AR247" s="205"/>
      <c r="AS247" s="205"/>
      <c r="AT247" s="205"/>
      <c r="AU247" s="205"/>
      <c r="AV247" s="205"/>
      <c r="AW247" s="205"/>
      <c r="AX247" s="205"/>
      <c r="AY247" s="205"/>
      <c r="AZ247" s="205"/>
      <c r="BA247" s="251" t="s">
        <v>245</v>
      </c>
      <c r="BB247" s="251"/>
      <c r="BC247" s="251"/>
      <c r="BD247" s="251"/>
      <c r="BE247" s="251"/>
      <c r="BF247" s="251"/>
      <c r="BG247" s="251"/>
      <c r="BH247" s="252"/>
      <c r="BI247" s="117"/>
      <c r="BJ247" s="117"/>
      <c r="BK247" s="117"/>
      <c r="BL247" s="117"/>
      <c r="BM247" s="117"/>
      <c r="BN247" s="117"/>
      <c r="BO247" s="117"/>
      <c r="BP247" s="117"/>
      <c r="BQ247" s="117"/>
      <c r="BR247" s="117"/>
      <c r="BS247" s="117"/>
      <c r="BT247" s="117"/>
      <c r="BU247" s="117"/>
      <c r="BV247" s="117"/>
      <c r="BW247" s="117"/>
      <c r="BX247" s="117"/>
      <c r="BY247" s="117"/>
      <c r="BZ247" s="117"/>
      <c r="CA247" s="117"/>
      <c r="CB247" s="117"/>
      <c r="CC247" s="117"/>
      <c r="CD247" s="117"/>
      <c r="CE247" s="117"/>
      <c r="CF247" s="117"/>
      <c r="CG247" s="117"/>
      <c r="CH247" s="117"/>
      <c r="CI247" s="117"/>
      <c r="CJ247" s="117"/>
      <c r="CK247" s="117"/>
      <c r="CL247" s="117"/>
      <c r="CM247" s="117"/>
      <c r="CN247" s="117"/>
      <c r="CO247" s="117"/>
      <c r="CP247" s="117"/>
      <c r="CQ247" s="117"/>
      <c r="CR247" s="117"/>
      <c r="CS247" s="117"/>
      <c r="CT247" s="117"/>
      <c r="CU247" s="117"/>
      <c r="CV247" s="117"/>
      <c r="CW247" s="117"/>
      <c r="CX247" s="117"/>
      <c r="CY247" s="117"/>
      <c r="CZ247" s="117"/>
      <c r="DA247" s="117"/>
      <c r="DB247" s="118"/>
    </row>
    <row r="248" spans="1:106" s="88" customFormat="1" ht="12" customHeight="1">
      <c r="A248" s="241" t="s">
        <v>181</v>
      </c>
      <c r="B248" s="242"/>
      <c r="C248" s="242"/>
      <c r="D248" s="242"/>
      <c r="E248" s="242"/>
      <c r="F248" s="242"/>
      <c r="G248" s="242"/>
      <c r="H248" s="242"/>
      <c r="I248" s="242"/>
      <c r="J248" s="242"/>
      <c r="K248" s="242"/>
      <c r="L248" s="242"/>
      <c r="M248" s="242"/>
      <c r="N248" s="242"/>
      <c r="O248" s="242"/>
      <c r="P248" s="242"/>
      <c r="Q248" s="242"/>
      <c r="R248" s="242"/>
      <c r="S248" s="242"/>
      <c r="T248" s="242"/>
      <c r="U248" s="242"/>
      <c r="V248" s="242"/>
      <c r="W248" s="243"/>
      <c r="X248" s="244" t="s">
        <v>45</v>
      </c>
      <c r="Y248" s="245"/>
      <c r="Z248" s="245"/>
      <c r="AA248" s="245"/>
      <c r="AB248" s="253">
        <f ca="1">график!C37</f>
        <v>45566</v>
      </c>
      <c r="AC248" s="246"/>
      <c r="AD248" s="246"/>
      <c r="AE248" s="246"/>
      <c r="AF248" s="246"/>
      <c r="AG248" s="93" t="s">
        <v>1</v>
      </c>
      <c r="AH248" s="254">
        <f ca="1">график!E37</f>
        <v>45658</v>
      </c>
      <c r="AI248" s="247"/>
      <c r="AJ248" s="247"/>
      <c r="AK248" s="247"/>
      <c r="AL248" s="247"/>
      <c r="AM248" s="255" t="s">
        <v>158</v>
      </c>
      <c r="AN248" s="255"/>
      <c r="AO248" s="91" t="s">
        <v>28</v>
      </c>
      <c r="AP248" s="256">
        <f ca="1">график!F37</f>
        <v>1.1263000000000001</v>
      </c>
      <c r="AQ248" s="256"/>
      <c r="AR248" s="256"/>
      <c r="AS248" s="256"/>
      <c r="AT248" s="255" t="s">
        <v>159</v>
      </c>
      <c r="AU248" s="255"/>
      <c r="AV248" s="91" t="s">
        <v>28</v>
      </c>
      <c r="AW248" s="228">
        <f ca="1">график!G37</f>
        <v>1.0298</v>
      </c>
      <c r="AX248" s="228"/>
      <c r="AY248" s="228"/>
      <c r="AZ248" s="229"/>
      <c r="BA248" s="230"/>
      <c r="BB248" s="231"/>
      <c r="BC248" s="231"/>
      <c r="BD248" s="231"/>
      <c r="BE248" s="231"/>
      <c r="BF248" s="231"/>
      <c r="BG248" s="231"/>
      <c r="BH248" s="232"/>
      <c r="BI248" s="87"/>
      <c r="BJ248" s="87"/>
      <c r="BK248" s="87"/>
      <c r="BL248" s="87"/>
      <c r="BM248" s="87"/>
      <c r="BN248" s="87"/>
      <c r="BO248" s="87"/>
      <c r="BP248" s="87"/>
      <c r="BQ248" s="87"/>
      <c r="BR248" s="87"/>
      <c r="BS248" s="87"/>
      <c r="BT248" s="87"/>
      <c r="BU248" s="87"/>
      <c r="BV248" s="87"/>
      <c r="BW248" s="87"/>
      <c r="BX248" s="87"/>
      <c r="BY248" s="87"/>
      <c r="BZ248" s="87"/>
      <c r="CA248" s="87"/>
      <c r="CB248" s="87"/>
      <c r="CC248" s="87"/>
      <c r="CD248" s="87"/>
      <c r="CE248" s="87"/>
      <c r="CF248" s="87"/>
      <c r="CG248" s="87"/>
      <c r="CH248" s="87"/>
      <c r="CI248" s="87"/>
      <c r="CJ248" s="87"/>
      <c r="CK248" s="87"/>
      <c r="CL248" s="87"/>
      <c r="CM248" s="87"/>
      <c r="CN248" s="87"/>
      <c r="CO248" s="87"/>
      <c r="CP248" s="87"/>
      <c r="CQ248" s="87"/>
      <c r="CR248" s="87"/>
      <c r="CS248" s="87"/>
      <c r="CT248" s="87"/>
      <c r="CU248" s="87"/>
      <c r="CV248" s="87"/>
      <c r="CW248" s="87"/>
      <c r="CX248" s="87"/>
      <c r="CY248" s="87"/>
      <c r="CZ248" s="87"/>
      <c r="DA248" s="87"/>
      <c r="DB248" s="119"/>
    </row>
    <row r="249" spans="1:106" s="88" customFormat="1" ht="12" customHeight="1">
      <c r="A249" s="273" t="s">
        <v>179</v>
      </c>
      <c r="B249" s="274"/>
      <c r="C249" s="274"/>
      <c r="D249" s="274"/>
      <c r="E249" s="274"/>
      <c r="F249" s="274"/>
      <c r="G249" s="274"/>
      <c r="H249" s="274"/>
      <c r="I249" s="274"/>
      <c r="J249" s="274"/>
      <c r="K249" s="274"/>
      <c r="L249" s="274"/>
      <c r="M249" s="274"/>
      <c r="N249" s="274"/>
      <c r="O249" s="274"/>
      <c r="P249" s="274"/>
      <c r="Q249" s="274"/>
      <c r="R249" s="274"/>
      <c r="S249" s="274"/>
      <c r="T249" s="274"/>
      <c r="U249" s="274"/>
      <c r="V249" s="274"/>
      <c r="W249" s="275"/>
      <c r="X249" s="208" t="s">
        <v>39</v>
      </c>
      <c r="Y249" s="209"/>
      <c r="Z249" s="209"/>
      <c r="AA249" s="44" t="s">
        <v>28</v>
      </c>
      <c r="AB249" s="226">
        <v>3000</v>
      </c>
      <c r="AC249" s="226"/>
      <c r="AD249" s="226"/>
      <c r="AE249" s="226"/>
      <c r="AF249" s="248" t="s">
        <v>40</v>
      </c>
      <c r="AG249" s="209"/>
      <c r="AH249" s="209"/>
      <c r="AI249" s="209"/>
      <c r="AJ249" s="209"/>
      <c r="AK249" s="44" t="s">
        <v>28</v>
      </c>
      <c r="AL249" s="289">
        <v>179</v>
      </c>
      <c r="AM249" s="290"/>
      <c r="AN249" s="290"/>
      <c r="AO249" s="290"/>
      <c r="AP249" s="290"/>
      <c r="AQ249" s="258"/>
      <c r="AR249" s="258"/>
      <c r="AS249" s="272"/>
      <c r="AT249" s="272"/>
      <c r="AU249" s="272"/>
      <c r="AV249" s="98"/>
      <c r="AW249" s="263"/>
      <c r="AX249" s="226"/>
      <c r="AY249" s="226"/>
      <c r="AZ249" s="227"/>
      <c r="BA249" s="210"/>
      <c r="BB249" s="211"/>
      <c r="BC249" s="211"/>
      <c r="BD249" s="211"/>
      <c r="BE249" s="211"/>
      <c r="BF249" s="212"/>
      <c r="BG249" s="212"/>
      <c r="BH249" s="213"/>
      <c r="BI249" s="87"/>
      <c r="BJ249" s="87"/>
      <c r="BK249" s="87"/>
      <c r="BL249" s="87"/>
      <c r="BM249" s="87"/>
      <c r="BN249" s="87"/>
      <c r="BO249" s="87"/>
      <c r="BP249" s="87"/>
      <c r="BQ249" s="87"/>
      <c r="BR249" s="87"/>
      <c r="BS249" s="87"/>
      <c r="BT249" s="87"/>
      <c r="BU249" s="87"/>
      <c r="BV249" s="87"/>
      <c r="BW249" s="87"/>
      <c r="BX249" s="87"/>
      <c r="BY249" s="87"/>
      <c r="BZ249" s="87"/>
      <c r="CA249" s="87"/>
      <c r="CB249" s="87"/>
      <c r="CC249" s="87"/>
      <c r="CD249" s="87"/>
      <c r="CE249" s="87"/>
      <c r="CF249" s="87"/>
      <c r="CG249" s="87"/>
      <c r="CH249" s="87"/>
      <c r="CI249" s="87"/>
      <c r="CJ249" s="87"/>
      <c r="CK249" s="87"/>
      <c r="CL249" s="87"/>
      <c r="CM249" s="87"/>
      <c r="CN249" s="87"/>
      <c r="CO249" s="87"/>
      <c r="CP249" s="87"/>
      <c r="CQ249" s="87"/>
      <c r="CR249" s="87"/>
      <c r="CS249" s="87"/>
      <c r="CT249" s="87"/>
      <c r="CU249" s="87"/>
      <c r="CV249" s="87"/>
      <c r="CW249" s="87"/>
      <c r="CX249" s="87"/>
      <c r="CY249" s="87"/>
      <c r="CZ249" s="87"/>
      <c r="DA249" s="87"/>
      <c r="DB249" s="119"/>
    </row>
    <row r="250" spans="1:106" s="88" customFormat="1" ht="12" customHeight="1">
      <c r="A250" s="273"/>
      <c r="B250" s="274"/>
      <c r="C250" s="274"/>
      <c r="D250" s="274"/>
      <c r="E250" s="274"/>
      <c r="F250" s="274"/>
      <c r="G250" s="274"/>
      <c r="H250" s="274"/>
      <c r="I250" s="274"/>
      <c r="J250" s="274"/>
      <c r="K250" s="274"/>
      <c r="L250" s="274"/>
      <c r="M250" s="274"/>
      <c r="N250" s="274"/>
      <c r="O250" s="274"/>
      <c r="P250" s="274"/>
      <c r="Q250" s="274"/>
      <c r="R250" s="274"/>
      <c r="S250" s="274"/>
      <c r="T250" s="274"/>
      <c r="U250" s="274"/>
      <c r="V250" s="274"/>
      <c r="W250" s="275"/>
      <c r="X250" s="208" t="s">
        <v>43</v>
      </c>
      <c r="Y250" s="209"/>
      <c r="Z250" s="209"/>
      <c r="AA250" s="44" t="s">
        <v>28</v>
      </c>
      <c r="AB250" s="226">
        <v>4000</v>
      </c>
      <c r="AC250" s="226"/>
      <c r="AD250" s="226"/>
      <c r="AE250" s="226"/>
      <c r="AF250" s="248" t="s">
        <v>44</v>
      </c>
      <c r="AG250" s="209"/>
      <c r="AH250" s="209"/>
      <c r="AI250" s="209"/>
      <c r="AJ250" s="209"/>
      <c r="AK250" s="44" t="s">
        <v>28</v>
      </c>
      <c r="AL250" s="289">
        <v>217</v>
      </c>
      <c r="AM250" s="290"/>
      <c r="AN250" s="290"/>
      <c r="AO250" s="290"/>
      <c r="AP250" s="290"/>
      <c r="AQ250" s="108"/>
      <c r="AR250" s="108"/>
      <c r="AS250" s="108"/>
      <c r="AT250" s="108"/>
      <c r="AU250" s="108"/>
      <c r="AV250" s="108"/>
      <c r="AW250" s="108"/>
      <c r="AX250" s="108"/>
      <c r="AY250" s="108"/>
      <c r="AZ250" s="135"/>
      <c r="BA250" s="210"/>
      <c r="BB250" s="211"/>
      <c r="BC250" s="211"/>
      <c r="BD250" s="211"/>
      <c r="BE250" s="211"/>
      <c r="BF250" s="212"/>
      <c r="BG250" s="212"/>
      <c r="BH250" s="213"/>
      <c r="BI250" s="87"/>
      <c r="BJ250" s="87"/>
      <c r="BK250" s="87"/>
      <c r="BL250" s="87"/>
      <c r="BM250" s="87"/>
      <c r="BN250" s="87"/>
      <c r="BO250" s="87"/>
      <c r="BP250" s="87"/>
      <c r="BQ250" s="87"/>
      <c r="BR250" s="87"/>
      <c r="BS250" s="87"/>
      <c r="BT250" s="87"/>
      <c r="BU250" s="87"/>
      <c r="BV250" s="87"/>
      <c r="BW250" s="87"/>
      <c r="BX250" s="87"/>
      <c r="BY250" s="87"/>
      <c r="BZ250" s="87"/>
      <c r="CA250" s="87"/>
      <c r="CB250" s="87"/>
      <c r="CC250" s="87"/>
      <c r="CD250" s="87"/>
      <c r="CE250" s="87"/>
      <c r="CF250" s="87"/>
      <c r="CG250" s="87"/>
      <c r="CH250" s="87"/>
      <c r="CI250" s="87"/>
      <c r="CJ250" s="87"/>
      <c r="CK250" s="87"/>
      <c r="CL250" s="87"/>
      <c r="CM250" s="87"/>
      <c r="CN250" s="87"/>
      <c r="CO250" s="87"/>
      <c r="CP250" s="87"/>
      <c r="CQ250" s="87"/>
      <c r="CR250" s="87"/>
      <c r="CS250" s="87"/>
      <c r="CT250" s="87"/>
      <c r="CU250" s="87"/>
      <c r="CV250" s="87"/>
      <c r="CW250" s="87"/>
      <c r="CX250" s="87"/>
      <c r="CY250" s="87"/>
      <c r="CZ250" s="87"/>
      <c r="DA250" s="87"/>
      <c r="DB250" s="119"/>
    </row>
    <row r="251" spans="1:106" s="88" customFormat="1" ht="12" customHeight="1">
      <c r="A251" s="273"/>
      <c r="B251" s="274"/>
      <c r="C251" s="274"/>
      <c r="D251" s="274"/>
      <c r="E251" s="274"/>
      <c r="F251" s="274"/>
      <c r="G251" s="274"/>
      <c r="H251" s="274"/>
      <c r="I251" s="274"/>
      <c r="J251" s="274"/>
      <c r="K251" s="274"/>
      <c r="L251" s="274"/>
      <c r="M251" s="274"/>
      <c r="N251" s="274"/>
      <c r="O251" s="274"/>
      <c r="P251" s="274"/>
      <c r="Q251" s="274"/>
      <c r="R251" s="274"/>
      <c r="S251" s="274"/>
      <c r="T251" s="274"/>
      <c r="U251" s="274"/>
      <c r="V251" s="274"/>
      <c r="W251" s="275"/>
      <c r="X251" s="224" t="s">
        <v>22</v>
      </c>
      <c r="Y251" s="225"/>
      <c r="Z251" s="225"/>
      <c r="AA251" s="94" t="s">
        <v>28</v>
      </c>
      <c r="AB251" s="226" t="str">
        <f>CONCATENATE(AL249," + [(",AL250," - ", AL249,") / (",AB250," - ", AB249,")] x (",D255," - ",AB249,")  = ")</f>
        <v xml:space="preserve">179 + [(217 - 179) / (4000 - 3000)] x (3310 - 3000)  = </v>
      </c>
      <c r="AC251" s="226"/>
      <c r="AD251" s="226"/>
      <c r="AE251" s="226"/>
      <c r="AF251" s="226"/>
      <c r="AG251" s="226"/>
      <c r="AH251" s="226"/>
      <c r="AI251" s="226"/>
      <c r="AJ251" s="226"/>
      <c r="AK251" s="226"/>
      <c r="AL251" s="226"/>
      <c r="AM251" s="226"/>
      <c r="AN251" s="226"/>
      <c r="AO251" s="226"/>
      <c r="AP251" s="226"/>
      <c r="AQ251" s="226"/>
      <c r="AR251" s="226"/>
      <c r="AS251" s="226"/>
      <c r="AT251" s="226"/>
      <c r="AU251" s="226"/>
      <c r="AV251" s="226"/>
      <c r="AW251" s="226"/>
      <c r="AX251" s="226"/>
      <c r="AY251" s="226"/>
      <c r="AZ251" s="227"/>
      <c r="BA251" s="210">
        <f>ROUND(AL249 + ((AL250-AL249) / (AB250-AB249)) * (D255-AB249),2)</f>
        <v>190.78</v>
      </c>
      <c r="BB251" s="211"/>
      <c r="BC251" s="211"/>
      <c r="BD251" s="211"/>
      <c r="BE251" s="211"/>
      <c r="BF251" s="212" t="s">
        <v>163</v>
      </c>
      <c r="BG251" s="212"/>
      <c r="BH251" s="213"/>
      <c r="BI251" s="87"/>
      <c r="BJ251" s="144" t="s">
        <v>171</v>
      </c>
      <c r="BK251" s="87"/>
      <c r="BL251" s="87"/>
      <c r="BM251" s="87"/>
      <c r="BN251" s="87"/>
      <c r="BO251" s="87"/>
      <c r="BP251" s="87"/>
      <c r="BQ251" s="87"/>
      <c r="BR251" s="87"/>
      <c r="BS251" s="87"/>
      <c r="BT251" s="87"/>
      <c r="BU251" s="87"/>
      <c r="BV251" s="87"/>
      <c r="BW251" s="87"/>
      <c r="BX251" s="87"/>
      <c r="BY251" s="87"/>
      <c r="BZ251" s="87"/>
      <c r="CA251" s="87"/>
      <c r="CB251" s="87"/>
      <c r="CC251" s="87"/>
      <c r="CD251" s="87"/>
      <c r="CE251" s="87"/>
      <c r="CF251" s="87"/>
      <c r="CG251" s="87"/>
      <c r="CH251" s="87"/>
      <c r="CI251" s="87"/>
      <c r="CJ251" s="87"/>
      <c r="CK251" s="87"/>
      <c r="CL251" s="87"/>
      <c r="CM251" s="87"/>
      <c r="CN251" s="87"/>
      <c r="CO251" s="87"/>
      <c r="CP251" s="87"/>
      <c r="CQ251" s="87"/>
      <c r="CR251" s="87"/>
      <c r="CS251" s="87"/>
      <c r="CT251" s="87"/>
      <c r="CU251" s="87"/>
      <c r="CV251" s="87"/>
      <c r="CW251" s="87"/>
      <c r="CX251" s="87"/>
      <c r="CY251" s="87"/>
      <c r="CZ251" s="87"/>
      <c r="DA251" s="87"/>
      <c r="DB251" s="119"/>
    </row>
    <row r="252" spans="1:106" s="88" customFormat="1" ht="12" customHeight="1">
      <c r="A252" s="286" t="s">
        <v>30</v>
      </c>
      <c r="B252" s="287"/>
      <c r="C252" s="287"/>
      <c r="D252" s="287"/>
      <c r="E252" s="287"/>
      <c r="F252" s="287"/>
      <c r="G252" s="287"/>
      <c r="H252" s="287"/>
      <c r="I252" s="287"/>
      <c r="J252" s="287"/>
      <c r="K252" s="287"/>
      <c r="L252" s="287"/>
      <c r="M252" s="287"/>
      <c r="N252" s="287"/>
      <c r="O252" s="287"/>
      <c r="P252" s="287"/>
      <c r="Q252" s="287"/>
      <c r="R252" s="287"/>
      <c r="S252" s="287"/>
      <c r="T252" s="287"/>
      <c r="U252" s="287"/>
      <c r="V252" s="287"/>
      <c r="W252" s="288"/>
      <c r="X252" s="208" t="s">
        <v>182</v>
      </c>
      <c r="Y252" s="209"/>
      <c r="Z252" s="209"/>
      <c r="AA252" s="44" t="s">
        <v>28</v>
      </c>
      <c r="AB252" s="276">
        <v>1.05</v>
      </c>
      <c r="AC252" s="276"/>
      <c r="AD252" s="276"/>
      <c r="AE252" s="258" t="s">
        <v>184</v>
      </c>
      <c r="AF252" s="258"/>
      <c r="AG252" s="98" t="s">
        <v>28</v>
      </c>
      <c r="AH252" s="407">
        <f>D255</f>
        <v>3310</v>
      </c>
      <c r="AI252" s="407"/>
      <c r="AJ252" s="407"/>
      <c r="AK252" s="248" t="s">
        <v>189</v>
      </c>
      <c r="AL252" s="248"/>
      <c r="AM252" s="44" t="s">
        <v>28</v>
      </c>
      <c r="AN252" s="226" t="str">
        <f>CONCATENATE("1 + (",AB252," - 1) x ",AH252," / ",D255)</f>
        <v>1 + (1,05 - 1) x 3310 / 3310</v>
      </c>
      <c r="AO252" s="226"/>
      <c r="AP252" s="226"/>
      <c r="AQ252" s="226"/>
      <c r="AR252" s="226"/>
      <c r="AS252" s="226"/>
      <c r="AT252" s="226"/>
      <c r="AU252" s="226"/>
      <c r="AV252" s="226"/>
      <c r="AW252" s="226"/>
      <c r="AX252" s="226"/>
      <c r="AY252" s="226"/>
      <c r="AZ252" s="110" t="s">
        <v>28</v>
      </c>
      <c r="BA252" s="284">
        <f>ROUND(1 + (AB252 - 1) *(AH252 / D255),2)</f>
        <v>1.05</v>
      </c>
      <c r="BB252" s="285"/>
      <c r="BC252" s="285"/>
      <c r="BD252" s="285"/>
      <c r="BE252" s="285"/>
      <c r="BF252" s="100"/>
      <c r="BG252" s="100"/>
      <c r="BH252" s="101"/>
      <c r="BI252" s="87"/>
      <c r="BJ252" s="87"/>
      <c r="BK252" s="87"/>
      <c r="BO252" s="87"/>
      <c r="BP252" s="87"/>
      <c r="BQ252" s="87"/>
      <c r="BR252" s="87"/>
      <c r="BS252" s="87"/>
      <c r="BT252" s="87"/>
      <c r="BU252" s="87"/>
      <c r="BV252" s="87"/>
      <c r="BW252" s="87"/>
      <c r="BX252" s="87"/>
      <c r="BY252" s="87"/>
      <c r="BZ252" s="87"/>
      <c r="CA252" s="87"/>
      <c r="CB252" s="87"/>
      <c r="CC252" s="87"/>
      <c r="CD252" s="87"/>
      <c r="CE252" s="87"/>
      <c r="CF252" s="87"/>
      <c r="CG252" s="87"/>
      <c r="CH252" s="87"/>
      <c r="CI252" s="87"/>
      <c r="CJ252" s="87"/>
      <c r="CK252" s="87"/>
      <c r="CL252" s="87"/>
      <c r="CM252" s="87"/>
      <c r="CN252" s="87"/>
      <c r="CO252" s="87"/>
      <c r="CP252" s="87"/>
      <c r="CQ252" s="87"/>
      <c r="CR252" s="87"/>
      <c r="CS252" s="87"/>
      <c r="CT252" s="87"/>
      <c r="CU252" s="87"/>
      <c r="CV252" s="87"/>
      <c r="CW252" s="87"/>
      <c r="CX252" s="87"/>
      <c r="CY252" s="87"/>
      <c r="CZ252" s="87"/>
      <c r="DA252" s="87"/>
      <c r="DB252" s="119"/>
    </row>
    <row r="253" spans="1:106" s="88" customFormat="1" ht="12" customHeight="1">
      <c r="A253" s="286" t="s">
        <v>185</v>
      </c>
      <c r="B253" s="287"/>
      <c r="C253" s="287"/>
      <c r="D253" s="287"/>
      <c r="E253" s="287"/>
      <c r="F253" s="287"/>
      <c r="G253" s="287"/>
      <c r="H253" s="287"/>
      <c r="I253" s="287"/>
      <c r="J253" s="287"/>
      <c r="K253" s="287"/>
      <c r="L253" s="287"/>
      <c r="M253" s="287"/>
      <c r="N253" s="287"/>
      <c r="O253" s="287"/>
      <c r="P253" s="287"/>
      <c r="Q253" s="287"/>
      <c r="R253" s="287"/>
      <c r="S253" s="287"/>
      <c r="T253" s="287"/>
      <c r="U253" s="287"/>
      <c r="V253" s="287"/>
      <c r="W253" s="288"/>
      <c r="X253" s="208" t="s">
        <v>183</v>
      </c>
      <c r="Y253" s="209"/>
      <c r="Z253" s="209"/>
      <c r="AA253" s="44" t="s">
        <v>28</v>
      </c>
      <c r="AB253" s="276">
        <v>2.19</v>
      </c>
      <c r="AC253" s="276"/>
      <c r="AD253" s="276"/>
      <c r="AE253" s="258" t="s">
        <v>184</v>
      </c>
      <c r="AF253" s="258"/>
      <c r="AG253" s="98" t="s">
        <v>28</v>
      </c>
      <c r="AH253" s="407">
        <v>180</v>
      </c>
      <c r="AI253" s="407"/>
      <c r="AJ253" s="407"/>
      <c r="AK253" s="248" t="s">
        <v>189</v>
      </c>
      <c r="AL253" s="248"/>
      <c r="AM253" s="44" t="s">
        <v>28</v>
      </c>
      <c r="AN253" s="226" t="str">
        <f>CONCATENATE("1 + (1 - ",AB253,") x ",AH253," / ",D255)</f>
        <v>1 + (1 - 2,19) x 180 / 3310</v>
      </c>
      <c r="AO253" s="226"/>
      <c r="AP253" s="226"/>
      <c r="AQ253" s="226"/>
      <c r="AR253" s="226"/>
      <c r="AS253" s="226"/>
      <c r="AT253" s="226"/>
      <c r="AU253" s="226"/>
      <c r="AV253" s="226"/>
      <c r="AW253" s="226"/>
      <c r="AX253" s="226"/>
      <c r="AY253" s="226"/>
      <c r="AZ253" s="110" t="s">
        <v>28</v>
      </c>
      <c r="BA253" s="284">
        <f>ROUND(1 + (AB253 - 1) *(AH253 / D255),2)</f>
        <v>1.06</v>
      </c>
      <c r="BB253" s="285"/>
      <c r="BC253" s="285"/>
      <c r="BD253" s="285"/>
      <c r="BE253" s="285"/>
      <c r="BF253" s="100"/>
      <c r="BG253" s="100"/>
      <c r="BH253" s="101"/>
      <c r="BI253" s="87"/>
      <c r="BJ253" s="151">
        <f>(1+(BA252-1)+(BA253-1))</f>
        <v>1.1100000000000001</v>
      </c>
      <c r="BK253" s="87"/>
      <c r="BO253" s="87"/>
      <c r="BP253" s="87"/>
      <c r="BQ253" s="87"/>
      <c r="BR253" s="87"/>
      <c r="BS253" s="87"/>
      <c r="BT253" s="87"/>
      <c r="BU253" s="87"/>
      <c r="BV253" s="87"/>
      <c r="BW253" s="87"/>
      <c r="BX253" s="87"/>
      <c r="BY253" s="87"/>
      <c r="BZ253" s="87"/>
      <c r="CA253" s="87"/>
      <c r="CB253" s="87"/>
      <c r="CC253" s="87"/>
      <c r="CD253" s="87"/>
      <c r="CE253" s="87"/>
      <c r="CF253" s="87"/>
      <c r="CG253" s="87"/>
      <c r="CH253" s="87"/>
      <c r="CI253" s="87"/>
      <c r="CJ253" s="87"/>
      <c r="CK253" s="87"/>
      <c r="CL253" s="87"/>
      <c r="CM253" s="87"/>
      <c r="CN253" s="87"/>
      <c r="CO253" s="87"/>
      <c r="CP253" s="87"/>
      <c r="CQ253" s="87"/>
      <c r="CR253" s="87"/>
      <c r="CS253" s="87"/>
      <c r="CT253" s="87"/>
      <c r="CU253" s="87"/>
      <c r="CV253" s="87"/>
      <c r="CW253" s="87"/>
      <c r="CX253" s="87"/>
      <c r="CY253" s="87"/>
      <c r="CZ253" s="87"/>
      <c r="DA253" s="87"/>
      <c r="DB253" s="119"/>
    </row>
    <row r="254" spans="1:106" s="88" customFormat="1" ht="12" customHeight="1">
      <c r="A254" s="129"/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1"/>
      <c r="X254" s="420" t="s">
        <v>190</v>
      </c>
      <c r="Y254" s="421"/>
      <c r="Z254" s="421"/>
      <c r="AA254" s="94" t="s">
        <v>28</v>
      </c>
      <c r="AB254" s="226" t="str">
        <f>CONCATENATE(BA251," x [1 + (",BA252," - 1) + (",BA253," - 1)] = ",BA251," x ",BJ253," = ")</f>
        <v xml:space="preserve">190,78 x [1 + (1,05 - 1) + (1,06 - 1)] = 190,78 x 1,11 = </v>
      </c>
      <c r="AC254" s="226"/>
      <c r="AD254" s="226"/>
      <c r="AE254" s="226"/>
      <c r="AF254" s="226"/>
      <c r="AG254" s="226"/>
      <c r="AH254" s="226"/>
      <c r="AI254" s="226"/>
      <c r="AJ254" s="226"/>
      <c r="AK254" s="226"/>
      <c r="AL254" s="226"/>
      <c r="AM254" s="226"/>
      <c r="AN254" s="226"/>
      <c r="AO254" s="226"/>
      <c r="AP254" s="226"/>
      <c r="AQ254" s="226"/>
      <c r="AR254" s="226"/>
      <c r="AS254" s="226"/>
      <c r="AT254" s="226"/>
      <c r="AU254" s="226"/>
      <c r="AV254" s="226"/>
      <c r="AW254" s="226"/>
      <c r="AX254" s="226"/>
      <c r="AY254" s="226"/>
      <c r="AZ254" s="227"/>
      <c r="BA254" s="210">
        <f>ROUND(BA251*BJ253,2)</f>
        <v>211.77</v>
      </c>
      <c r="BB254" s="211"/>
      <c r="BC254" s="211"/>
      <c r="BD254" s="211"/>
      <c r="BE254" s="211"/>
      <c r="BF254" s="212" t="s">
        <v>163</v>
      </c>
      <c r="BG254" s="212"/>
      <c r="BH254" s="213"/>
      <c r="BI254" s="87"/>
      <c r="BJ254" s="144"/>
      <c r="BK254" s="87"/>
      <c r="BL254" s="87"/>
      <c r="BM254" s="87"/>
      <c r="BN254" s="87"/>
      <c r="BO254" s="87"/>
      <c r="BP254" s="87"/>
      <c r="BQ254" s="87"/>
      <c r="BR254" s="87"/>
      <c r="BS254" s="87"/>
      <c r="BT254" s="87"/>
      <c r="BU254" s="87"/>
      <c r="BV254" s="87"/>
      <c r="BW254" s="87"/>
      <c r="BX254" s="87"/>
      <c r="BY254" s="87"/>
      <c r="BZ254" s="87"/>
      <c r="CA254" s="87"/>
      <c r="CB254" s="87"/>
      <c r="CC254" s="87"/>
      <c r="CD254" s="87"/>
      <c r="CE254" s="87"/>
      <c r="CF254" s="87"/>
      <c r="CG254" s="87"/>
      <c r="CH254" s="87"/>
      <c r="CI254" s="87"/>
      <c r="CJ254" s="87"/>
      <c r="CK254" s="87"/>
      <c r="CL254" s="87"/>
      <c r="CM254" s="87"/>
      <c r="CN254" s="87"/>
      <c r="CO254" s="87"/>
      <c r="CP254" s="87"/>
      <c r="CQ254" s="87"/>
      <c r="CR254" s="87"/>
      <c r="CS254" s="87"/>
      <c r="CT254" s="87"/>
      <c r="CU254" s="87"/>
      <c r="CV254" s="87"/>
      <c r="CW254" s="87"/>
      <c r="CX254" s="87"/>
      <c r="CY254" s="87"/>
      <c r="CZ254" s="87"/>
      <c r="DA254" s="87"/>
      <c r="DB254" s="119"/>
    </row>
    <row r="255" spans="1:106" s="88" customFormat="1" ht="12" customHeight="1">
      <c r="A255" s="214" t="s">
        <v>170</v>
      </c>
      <c r="B255" s="215"/>
      <c r="C255" s="113" t="s">
        <v>28</v>
      </c>
      <c r="D255" s="417">
        <f>$D$57</f>
        <v>3310</v>
      </c>
      <c r="E255" s="417"/>
      <c r="F255" s="417"/>
      <c r="G255" s="417"/>
      <c r="H255" s="417"/>
      <c r="I255" s="120"/>
      <c r="J255" s="120"/>
      <c r="K255" s="120"/>
      <c r="L255" s="120"/>
      <c r="M255" s="120"/>
      <c r="N255" s="120"/>
      <c r="O255" s="120"/>
      <c r="P255" s="120"/>
      <c r="Q255" s="120"/>
      <c r="R255" s="215"/>
      <c r="S255" s="215"/>
      <c r="T255" s="113"/>
      <c r="U255" s="217"/>
      <c r="V255" s="218"/>
      <c r="W255" s="219"/>
      <c r="X255" s="422" t="s">
        <v>162</v>
      </c>
      <c r="Y255" s="423"/>
      <c r="Z255" s="423"/>
      <c r="AA255" s="97" t="s">
        <v>28</v>
      </c>
      <c r="AB255" s="222" t="str">
        <f ca="1">CONCATENATE(BA254," x ",$AO$17," x ", AP248," x [1 + 0,5 x (",AW248," - 1)]  = ")</f>
        <v xml:space="preserve">211,77 x 307,7 x 1,1263 x [1 + 0,5 x (1,0298 - 1)]  = </v>
      </c>
      <c r="AC255" s="222"/>
      <c r="AD255" s="222"/>
      <c r="AE255" s="222"/>
      <c r="AF255" s="222"/>
      <c r="AG255" s="222"/>
      <c r="AH255" s="222"/>
      <c r="AI255" s="222"/>
      <c r="AJ255" s="222"/>
      <c r="AK255" s="222"/>
      <c r="AL255" s="222"/>
      <c r="AM255" s="222"/>
      <c r="AN255" s="222"/>
      <c r="AO255" s="222"/>
      <c r="AP255" s="222"/>
      <c r="AQ255" s="222"/>
      <c r="AR255" s="222"/>
      <c r="AS255" s="222"/>
      <c r="AT255" s="222"/>
      <c r="AU255" s="222"/>
      <c r="AV255" s="222"/>
      <c r="AW255" s="222"/>
      <c r="AX255" s="222"/>
      <c r="AY255" s="222"/>
      <c r="AZ255" s="223"/>
      <c r="BA255" s="268">
        <f ca="1">ROUND(BA254*$AO$17*AP248*(1+0.5*(AW248-1)),2)</f>
        <v>74485.08</v>
      </c>
      <c r="BB255" s="269"/>
      <c r="BC255" s="269"/>
      <c r="BD255" s="269"/>
      <c r="BE255" s="269"/>
      <c r="BF255" s="270" t="s">
        <v>23</v>
      </c>
      <c r="BG255" s="270"/>
      <c r="BH255" s="271"/>
      <c r="BI255" s="87"/>
      <c r="BJ255" s="87"/>
      <c r="BK255" s="87"/>
      <c r="BL255" s="87"/>
      <c r="BM255" s="87"/>
      <c r="BN255" s="87"/>
      <c r="BO255" s="87"/>
      <c r="BP255" s="87"/>
      <c r="BQ255" s="87"/>
      <c r="BR255" s="87"/>
      <c r="BS255" s="87"/>
      <c r="BT255" s="87"/>
      <c r="BU255" s="87"/>
      <c r="BV255" s="87"/>
      <c r="BW255" s="87"/>
      <c r="BX255" s="87"/>
      <c r="BY255" s="87"/>
      <c r="BZ255" s="87"/>
      <c r="CA255" s="87"/>
      <c r="CB255" s="87"/>
      <c r="CC255" s="87"/>
      <c r="CD255" s="87"/>
      <c r="CE255" s="87"/>
      <c r="CF255" s="87"/>
      <c r="CG255" s="87"/>
      <c r="CH255" s="87"/>
      <c r="CI255" s="87"/>
      <c r="CJ255" s="87"/>
      <c r="CK255" s="87"/>
      <c r="CL255" s="87"/>
      <c r="CM255" s="87"/>
      <c r="CN255" s="87"/>
      <c r="CO255" s="87"/>
      <c r="CP255" s="87"/>
      <c r="CQ255" s="87"/>
      <c r="CR255" s="87"/>
      <c r="CS255" s="87"/>
      <c r="CT255" s="87"/>
      <c r="CU255" s="87"/>
      <c r="CV255" s="87"/>
      <c r="CW255" s="87"/>
      <c r="CX255" s="87"/>
      <c r="CY255" s="87"/>
      <c r="CZ255" s="87"/>
      <c r="DA255" s="87"/>
      <c r="DB255" s="119"/>
    </row>
    <row r="256" spans="1:106" s="88" customFormat="1" ht="12" customHeight="1">
      <c r="A256" s="241" t="s">
        <v>227</v>
      </c>
      <c r="B256" s="242"/>
      <c r="C256" s="242"/>
      <c r="D256" s="242"/>
      <c r="E256" s="242"/>
      <c r="F256" s="242"/>
      <c r="G256" s="242"/>
      <c r="H256" s="242"/>
      <c r="I256" s="242"/>
      <c r="J256" s="242"/>
      <c r="K256" s="242"/>
      <c r="L256" s="242"/>
      <c r="M256" s="242"/>
      <c r="N256" s="242"/>
      <c r="O256" s="242"/>
      <c r="P256" s="242"/>
      <c r="Q256" s="242"/>
      <c r="R256" s="242"/>
      <c r="S256" s="242"/>
      <c r="T256" s="242"/>
      <c r="U256" s="242"/>
      <c r="V256" s="242"/>
      <c r="W256" s="243"/>
      <c r="X256" s="299" t="s">
        <v>45</v>
      </c>
      <c r="Y256" s="300"/>
      <c r="Z256" s="300"/>
      <c r="AA256" s="300"/>
      <c r="AB256" s="301">
        <f ca="1">график!C37</f>
        <v>45566</v>
      </c>
      <c r="AC256" s="302"/>
      <c r="AD256" s="302"/>
      <c r="AE256" s="302"/>
      <c r="AF256" s="302"/>
      <c r="AG256" s="169" t="s">
        <v>1</v>
      </c>
      <c r="AH256" s="303">
        <f ca="1">график!E37</f>
        <v>45658</v>
      </c>
      <c r="AI256" s="304"/>
      <c r="AJ256" s="304"/>
      <c r="AK256" s="304"/>
      <c r="AL256" s="304"/>
      <c r="AM256" s="293" t="s">
        <v>158</v>
      </c>
      <c r="AN256" s="293"/>
      <c r="AO256" s="170" t="s">
        <v>28</v>
      </c>
      <c r="AP256" s="294">
        <f ca="1">график!F37</f>
        <v>1.1263000000000001</v>
      </c>
      <c r="AQ256" s="294"/>
      <c r="AR256" s="294"/>
      <c r="AS256" s="294"/>
      <c r="AT256" s="293" t="s">
        <v>159</v>
      </c>
      <c r="AU256" s="293"/>
      <c r="AV256" s="170" t="s">
        <v>28</v>
      </c>
      <c r="AW256" s="295">
        <f ca="1">график!G37</f>
        <v>1.0298</v>
      </c>
      <c r="AX256" s="295"/>
      <c r="AY256" s="295"/>
      <c r="AZ256" s="296"/>
      <c r="BA256" s="230"/>
      <c r="BB256" s="231"/>
      <c r="BC256" s="231"/>
      <c r="BD256" s="231"/>
      <c r="BE256" s="231"/>
      <c r="BF256" s="231"/>
      <c r="BG256" s="231"/>
      <c r="BH256" s="232"/>
      <c r="BI256" s="87"/>
      <c r="BJ256" s="87"/>
      <c r="BK256" s="87"/>
      <c r="BL256" s="87"/>
      <c r="BM256" s="87"/>
      <c r="BN256" s="87"/>
      <c r="BO256" s="87"/>
      <c r="BP256" s="87"/>
      <c r="BQ256" s="87"/>
      <c r="BR256" s="87"/>
      <c r="BS256" s="87"/>
      <c r="BT256" s="87"/>
      <c r="BU256" s="87"/>
      <c r="BV256" s="87"/>
      <c r="BW256" s="87"/>
      <c r="BX256" s="87"/>
      <c r="BY256" s="87"/>
      <c r="BZ256" s="87"/>
      <c r="CA256" s="87"/>
      <c r="CB256" s="87"/>
      <c r="CC256" s="87"/>
      <c r="CD256" s="87"/>
      <c r="CE256" s="87"/>
      <c r="CF256" s="87"/>
      <c r="CG256" s="87"/>
      <c r="CH256" s="87"/>
      <c r="CI256" s="87"/>
      <c r="CJ256" s="87"/>
      <c r="CK256" s="87"/>
      <c r="CL256" s="87"/>
      <c r="CM256" s="87"/>
      <c r="CN256" s="87"/>
      <c r="CO256" s="87"/>
      <c r="CP256" s="87"/>
      <c r="CQ256" s="87"/>
      <c r="CR256" s="87"/>
      <c r="CS256" s="87"/>
      <c r="CT256" s="87"/>
      <c r="CU256" s="87"/>
      <c r="CV256" s="87"/>
      <c r="CW256" s="87"/>
      <c r="CX256" s="87"/>
      <c r="CY256" s="87"/>
      <c r="CZ256" s="87"/>
      <c r="DA256" s="87"/>
      <c r="DB256" s="119"/>
    </row>
    <row r="257" spans="1:106" s="88" customFormat="1" ht="12" customHeight="1">
      <c r="A257" s="273" t="s">
        <v>226</v>
      </c>
      <c r="B257" s="274"/>
      <c r="C257" s="274"/>
      <c r="D257" s="274"/>
      <c r="E257" s="274"/>
      <c r="F257" s="274"/>
      <c r="G257" s="274"/>
      <c r="H257" s="274"/>
      <c r="I257" s="274"/>
      <c r="J257" s="274"/>
      <c r="K257" s="274"/>
      <c r="L257" s="274"/>
      <c r="M257" s="274"/>
      <c r="N257" s="274"/>
      <c r="O257" s="274"/>
      <c r="P257" s="274"/>
      <c r="Q257" s="274"/>
      <c r="R257" s="274"/>
      <c r="S257" s="274"/>
      <c r="T257" s="274"/>
      <c r="U257" s="274"/>
      <c r="V257" s="274"/>
      <c r="W257" s="275"/>
      <c r="X257" s="208" t="s">
        <v>39</v>
      </c>
      <c r="Y257" s="209"/>
      <c r="Z257" s="209"/>
      <c r="AA257" s="44" t="s">
        <v>28</v>
      </c>
      <c r="AB257" s="226">
        <v>100</v>
      </c>
      <c r="AC257" s="226"/>
      <c r="AD257" s="226"/>
      <c r="AE257" s="226"/>
      <c r="AF257" s="248" t="s">
        <v>40</v>
      </c>
      <c r="AG257" s="209"/>
      <c r="AH257" s="209"/>
      <c r="AI257" s="209"/>
      <c r="AJ257" s="209"/>
      <c r="AK257" s="44" t="s">
        <v>28</v>
      </c>
      <c r="AL257" s="297">
        <v>3.54</v>
      </c>
      <c r="AM257" s="298"/>
      <c r="AN257" s="298"/>
      <c r="AO257" s="298"/>
      <c r="AP257" s="298"/>
      <c r="AQ257" s="258"/>
      <c r="AR257" s="258"/>
      <c r="AS257" s="272"/>
      <c r="AT257" s="272"/>
      <c r="AU257" s="272"/>
      <c r="AV257" s="98"/>
      <c r="AW257" s="263"/>
      <c r="AX257" s="226"/>
      <c r="AY257" s="226"/>
      <c r="AZ257" s="227"/>
      <c r="BA257" s="210"/>
      <c r="BB257" s="211"/>
      <c r="BC257" s="211"/>
      <c r="BD257" s="211"/>
      <c r="BE257" s="211"/>
      <c r="BF257" s="212"/>
      <c r="BG257" s="212"/>
      <c r="BH257" s="213"/>
      <c r="BI257" s="87"/>
      <c r="BJ257" s="87"/>
      <c r="BK257" s="87"/>
      <c r="BL257" s="87"/>
      <c r="BM257" s="87"/>
      <c r="BN257" s="87"/>
      <c r="BO257" s="87"/>
      <c r="BP257" s="87"/>
      <c r="BQ257" s="87"/>
      <c r="BR257" s="87"/>
      <c r="BS257" s="87"/>
      <c r="BT257" s="87"/>
      <c r="BU257" s="87"/>
      <c r="BV257" s="87"/>
      <c r="BW257" s="87"/>
      <c r="BX257" s="87"/>
      <c r="BY257" s="87"/>
      <c r="BZ257" s="87"/>
      <c r="CA257" s="87"/>
      <c r="CB257" s="87"/>
      <c r="CC257" s="87"/>
      <c r="CD257" s="87"/>
      <c r="CE257" s="87"/>
      <c r="CF257" s="87"/>
      <c r="CG257" s="87"/>
      <c r="CH257" s="87"/>
      <c r="CI257" s="87"/>
      <c r="CJ257" s="87"/>
      <c r="CK257" s="87"/>
      <c r="CL257" s="87"/>
      <c r="CM257" s="87"/>
      <c r="CN257" s="87"/>
      <c r="CO257" s="87"/>
      <c r="CP257" s="87"/>
      <c r="CQ257" s="87"/>
      <c r="CR257" s="87"/>
      <c r="CS257" s="87"/>
      <c r="CT257" s="87"/>
      <c r="CU257" s="87"/>
      <c r="CV257" s="87"/>
      <c r="CW257" s="87"/>
      <c r="CX257" s="87"/>
      <c r="CY257" s="87"/>
      <c r="CZ257" s="87"/>
      <c r="DA257" s="87"/>
      <c r="DB257" s="119"/>
    </row>
    <row r="258" spans="1:106" s="88" customFormat="1" ht="12" customHeight="1">
      <c r="A258" s="273"/>
      <c r="B258" s="274"/>
      <c r="C258" s="274"/>
      <c r="D258" s="274"/>
      <c r="E258" s="274"/>
      <c r="F258" s="274"/>
      <c r="G258" s="274"/>
      <c r="H258" s="274"/>
      <c r="I258" s="274"/>
      <c r="J258" s="274"/>
      <c r="K258" s="274"/>
      <c r="L258" s="274"/>
      <c r="M258" s="274"/>
      <c r="N258" s="274"/>
      <c r="O258" s="274"/>
      <c r="P258" s="274"/>
      <c r="Q258" s="274"/>
      <c r="R258" s="274"/>
      <c r="S258" s="274"/>
      <c r="T258" s="274"/>
      <c r="U258" s="274"/>
      <c r="V258" s="274"/>
      <c r="W258" s="275"/>
      <c r="X258" s="208" t="s">
        <v>43</v>
      </c>
      <c r="Y258" s="209"/>
      <c r="Z258" s="209"/>
      <c r="AA258" s="44" t="s">
        <v>28</v>
      </c>
      <c r="AB258" s="226">
        <v>300</v>
      </c>
      <c r="AC258" s="226"/>
      <c r="AD258" s="226"/>
      <c r="AE258" s="226"/>
      <c r="AF258" s="248" t="s">
        <v>44</v>
      </c>
      <c r="AG258" s="209"/>
      <c r="AH258" s="209"/>
      <c r="AI258" s="209"/>
      <c r="AJ258" s="209"/>
      <c r="AK258" s="44" t="s">
        <v>28</v>
      </c>
      <c r="AL258" s="297">
        <v>8.2200000000000006</v>
      </c>
      <c r="AM258" s="298"/>
      <c r="AN258" s="298"/>
      <c r="AO258" s="298"/>
      <c r="AP258" s="298"/>
      <c r="AQ258" s="108"/>
      <c r="AR258" s="108"/>
      <c r="AS258" s="108"/>
      <c r="AT258" s="108"/>
      <c r="AU258" s="108"/>
      <c r="AV258" s="108"/>
      <c r="AW258" s="108"/>
      <c r="AX258" s="108"/>
      <c r="AY258" s="108"/>
      <c r="AZ258" s="135"/>
      <c r="BA258" s="210"/>
      <c r="BB258" s="211"/>
      <c r="BC258" s="211"/>
      <c r="BD258" s="211"/>
      <c r="BE258" s="211"/>
      <c r="BF258" s="212"/>
      <c r="BG258" s="212"/>
      <c r="BH258" s="213"/>
      <c r="BI258" s="87"/>
      <c r="BJ258" s="87"/>
      <c r="BK258" s="87"/>
      <c r="BL258" s="87"/>
      <c r="BM258" s="87"/>
      <c r="BN258" s="87"/>
      <c r="BO258" s="87"/>
      <c r="BP258" s="87"/>
      <c r="BQ258" s="87"/>
      <c r="BR258" s="87"/>
      <c r="BS258" s="87"/>
      <c r="BT258" s="87"/>
      <c r="BU258" s="87"/>
      <c r="BV258" s="87"/>
      <c r="BW258" s="87"/>
      <c r="BX258" s="87"/>
      <c r="BY258" s="87"/>
      <c r="BZ258" s="87"/>
      <c r="CA258" s="87"/>
      <c r="CB258" s="87"/>
      <c r="CC258" s="87"/>
      <c r="CD258" s="87"/>
      <c r="CE258" s="87"/>
      <c r="CF258" s="87"/>
      <c r="CG258" s="87"/>
      <c r="CH258" s="87"/>
      <c r="CI258" s="87"/>
      <c r="CJ258" s="87"/>
      <c r="CK258" s="87"/>
      <c r="CL258" s="87"/>
      <c r="CM258" s="87"/>
      <c r="CN258" s="87"/>
      <c r="CO258" s="87"/>
      <c r="CP258" s="87"/>
      <c r="CQ258" s="87"/>
      <c r="CR258" s="87"/>
      <c r="CS258" s="87"/>
      <c r="CT258" s="87"/>
      <c r="CU258" s="87"/>
      <c r="CV258" s="87"/>
      <c r="CW258" s="87"/>
      <c r="CX258" s="87"/>
      <c r="CY258" s="87"/>
      <c r="CZ258" s="87"/>
      <c r="DA258" s="87"/>
      <c r="DB258" s="119"/>
    </row>
    <row r="259" spans="1:106" s="88" customFormat="1" ht="12" customHeight="1">
      <c r="A259" s="273"/>
      <c r="B259" s="274"/>
      <c r="C259" s="274"/>
      <c r="D259" s="274"/>
      <c r="E259" s="274"/>
      <c r="F259" s="274"/>
      <c r="G259" s="274"/>
      <c r="H259" s="274"/>
      <c r="I259" s="274"/>
      <c r="J259" s="274"/>
      <c r="K259" s="274"/>
      <c r="L259" s="274"/>
      <c r="M259" s="274"/>
      <c r="N259" s="274"/>
      <c r="O259" s="274"/>
      <c r="P259" s="274"/>
      <c r="Q259" s="274"/>
      <c r="R259" s="274"/>
      <c r="S259" s="274"/>
      <c r="T259" s="274"/>
      <c r="U259" s="274"/>
      <c r="V259" s="274"/>
      <c r="W259" s="275"/>
      <c r="X259" s="224" t="s">
        <v>22</v>
      </c>
      <c r="Y259" s="225"/>
      <c r="Z259" s="225"/>
      <c r="AA259" s="94" t="s">
        <v>28</v>
      </c>
      <c r="AB259" s="226" t="str">
        <f>CONCATENATE(AL257," + [(",AL258," - ", AL257,") / (",AB258," - ", AB257,")] x (",D263," - ",AB257,")  = ")</f>
        <v xml:space="preserve">3,54 + [(8,22 - 3,54) / (300 - 100)] x (107 - 100)  = </v>
      </c>
      <c r="AC259" s="226"/>
      <c r="AD259" s="226"/>
      <c r="AE259" s="226"/>
      <c r="AF259" s="226"/>
      <c r="AG259" s="226"/>
      <c r="AH259" s="226"/>
      <c r="AI259" s="226"/>
      <c r="AJ259" s="226"/>
      <c r="AK259" s="226"/>
      <c r="AL259" s="226"/>
      <c r="AM259" s="226"/>
      <c r="AN259" s="226"/>
      <c r="AO259" s="226"/>
      <c r="AP259" s="226"/>
      <c r="AQ259" s="226"/>
      <c r="AR259" s="226"/>
      <c r="AS259" s="226"/>
      <c r="AT259" s="226"/>
      <c r="AU259" s="226"/>
      <c r="AV259" s="226"/>
      <c r="AW259" s="226"/>
      <c r="AX259" s="226"/>
      <c r="AY259" s="226"/>
      <c r="AZ259" s="227"/>
      <c r="BA259" s="210">
        <f>ROUND(AL257 + ((AL258-AL257) / (AB258-AB257)) * (D263-AB257),2)</f>
        <v>3.7</v>
      </c>
      <c r="BB259" s="211"/>
      <c r="BC259" s="211"/>
      <c r="BD259" s="211"/>
      <c r="BE259" s="211"/>
      <c r="BF259" s="212" t="s">
        <v>163</v>
      </c>
      <c r="BG259" s="212"/>
      <c r="BH259" s="213"/>
      <c r="BI259" s="87"/>
      <c r="BJ259" s="144" t="s">
        <v>171</v>
      </c>
      <c r="BK259" s="87"/>
      <c r="BL259" s="87"/>
      <c r="BM259" s="87"/>
      <c r="BN259" s="87"/>
      <c r="BO259" s="87"/>
      <c r="BP259" s="87"/>
      <c r="BQ259" s="87"/>
      <c r="BR259" s="87"/>
      <c r="BS259" s="87"/>
      <c r="BT259" s="87"/>
      <c r="BU259" s="87"/>
      <c r="BV259" s="87"/>
      <c r="BW259" s="87"/>
      <c r="BX259" s="87"/>
      <c r="BY259" s="87"/>
      <c r="BZ259" s="87"/>
      <c r="CA259" s="87"/>
      <c r="CB259" s="87"/>
      <c r="CC259" s="87"/>
      <c r="CD259" s="87"/>
      <c r="CE259" s="87"/>
      <c r="CF259" s="87"/>
      <c r="CG259" s="87"/>
      <c r="CH259" s="87"/>
      <c r="CI259" s="87"/>
      <c r="CJ259" s="87"/>
      <c r="CK259" s="87"/>
      <c r="CL259" s="87"/>
      <c r="CM259" s="87"/>
      <c r="CN259" s="87"/>
      <c r="CO259" s="87"/>
      <c r="CP259" s="87"/>
      <c r="CQ259" s="87"/>
      <c r="CR259" s="87"/>
      <c r="CS259" s="87"/>
      <c r="CT259" s="87"/>
      <c r="CU259" s="87"/>
      <c r="CV259" s="87"/>
      <c r="CW259" s="87"/>
      <c r="CX259" s="87"/>
      <c r="CY259" s="87"/>
      <c r="CZ259" s="87"/>
      <c r="DA259" s="87"/>
      <c r="DB259" s="119"/>
    </row>
    <row r="260" spans="1:106" s="88" customFormat="1" ht="12" customHeight="1">
      <c r="A260" s="286" t="s">
        <v>229</v>
      </c>
      <c r="B260" s="287"/>
      <c r="C260" s="287"/>
      <c r="D260" s="287"/>
      <c r="E260" s="287"/>
      <c r="F260" s="287"/>
      <c r="G260" s="287"/>
      <c r="H260" s="287"/>
      <c r="I260" s="287"/>
      <c r="J260" s="287"/>
      <c r="K260" s="287"/>
      <c r="L260" s="287"/>
      <c r="M260" s="287"/>
      <c r="N260" s="287"/>
      <c r="O260" s="287"/>
      <c r="P260" s="287"/>
      <c r="Q260" s="287"/>
      <c r="R260" s="287"/>
      <c r="S260" s="287"/>
      <c r="T260" s="287"/>
      <c r="U260" s="287"/>
      <c r="V260" s="287"/>
      <c r="W260" s="288"/>
      <c r="X260" s="208" t="s">
        <v>230</v>
      </c>
      <c r="Y260" s="209"/>
      <c r="Z260" s="209"/>
      <c r="AA260" s="44" t="s">
        <v>28</v>
      </c>
      <c r="AB260" s="276">
        <v>1.1000000000000001</v>
      </c>
      <c r="AC260" s="276"/>
      <c r="AD260" s="276"/>
      <c r="AE260" s="258" t="s">
        <v>184</v>
      </c>
      <c r="AF260" s="258"/>
      <c r="AG260" s="98" t="s">
        <v>28</v>
      </c>
      <c r="AH260" s="407">
        <v>60</v>
      </c>
      <c r="AI260" s="407"/>
      <c r="AJ260" s="407"/>
      <c r="AK260" s="248" t="s">
        <v>189</v>
      </c>
      <c r="AL260" s="248"/>
      <c r="AM260" s="44" t="s">
        <v>28</v>
      </c>
      <c r="AN260" s="226" t="str">
        <f>CONCATENATE("1 + (",AB260," - 1) x ",AH260," / ",D263)</f>
        <v>1 + (1,1 - 1) x 60 / 107</v>
      </c>
      <c r="AO260" s="226"/>
      <c r="AP260" s="226"/>
      <c r="AQ260" s="226"/>
      <c r="AR260" s="226"/>
      <c r="AS260" s="226"/>
      <c r="AT260" s="226"/>
      <c r="AU260" s="226"/>
      <c r="AV260" s="226"/>
      <c r="AW260" s="226"/>
      <c r="AX260" s="226"/>
      <c r="AY260" s="226"/>
      <c r="AZ260" s="110" t="s">
        <v>28</v>
      </c>
      <c r="BA260" s="284">
        <f>ROUND(1 + (AB260 - 1) *(AH260 / D263),2)</f>
        <v>1.06</v>
      </c>
      <c r="BB260" s="285"/>
      <c r="BC260" s="285"/>
      <c r="BD260" s="285"/>
      <c r="BE260" s="285"/>
      <c r="BF260" s="100"/>
      <c r="BG260" s="100"/>
      <c r="BH260" s="101"/>
      <c r="BI260" s="87"/>
      <c r="BJ260" s="87"/>
      <c r="BK260" s="87"/>
      <c r="BO260" s="87"/>
      <c r="BP260" s="87"/>
      <c r="BQ260" s="87"/>
      <c r="BR260" s="87"/>
      <c r="BS260" s="87"/>
      <c r="BT260" s="87"/>
      <c r="BU260" s="87"/>
      <c r="BV260" s="87"/>
      <c r="BW260" s="87"/>
      <c r="BX260" s="87"/>
      <c r="BY260" s="87"/>
      <c r="BZ260" s="87"/>
      <c r="CA260" s="87"/>
      <c r="CB260" s="87"/>
      <c r="CC260" s="87"/>
      <c r="CD260" s="87"/>
      <c r="CE260" s="87"/>
      <c r="CF260" s="87"/>
      <c r="CG260" s="87"/>
      <c r="CH260" s="87"/>
      <c r="CI260" s="87"/>
      <c r="CJ260" s="87"/>
      <c r="CK260" s="87"/>
      <c r="CL260" s="87"/>
      <c r="CM260" s="87"/>
      <c r="CN260" s="87"/>
      <c r="CO260" s="87"/>
      <c r="CP260" s="87"/>
      <c r="CQ260" s="87"/>
      <c r="CR260" s="87"/>
      <c r="CS260" s="87"/>
      <c r="CT260" s="87"/>
      <c r="CU260" s="87"/>
      <c r="CV260" s="87"/>
      <c r="CW260" s="87"/>
      <c r="CX260" s="87"/>
      <c r="CY260" s="87"/>
      <c r="CZ260" s="87"/>
      <c r="DA260" s="87"/>
      <c r="DB260" s="119"/>
    </row>
    <row r="261" spans="1:106" s="88" customFormat="1" ht="12" customHeight="1">
      <c r="A261" s="286" t="s">
        <v>228</v>
      </c>
      <c r="B261" s="287"/>
      <c r="C261" s="287"/>
      <c r="D261" s="287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8"/>
      <c r="X261" s="208" t="s">
        <v>183</v>
      </c>
      <c r="Y261" s="209"/>
      <c r="Z261" s="209"/>
      <c r="AA261" s="44" t="s">
        <v>28</v>
      </c>
      <c r="AB261" s="276">
        <v>1.2</v>
      </c>
      <c r="AC261" s="276"/>
      <c r="AD261" s="276"/>
      <c r="AE261" s="258" t="s">
        <v>184</v>
      </c>
      <c r="AF261" s="258"/>
      <c r="AG261" s="98" t="s">
        <v>28</v>
      </c>
      <c r="AH261" s="407">
        <v>100</v>
      </c>
      <c r="AI261" s="407"/>
      <c r="AJ261" s="407"/>
      <c r="AK261" s="248" t="s">
        <v>189</v>
      </c>
      <c r="AL261" s="248"/>
      <c r="AM261" s="44" t="s">
        <v>28</v>
      </c>
      <c r="AN261" s="226" t="str">
        <f>CONCATENATE("1 + (1 - ",AB261,") x ",AH261," / ",D263)</f>
        <v>1 + (1 - 1,2) x 100 / 107</v>
      </c>
      <c r="AO261" s="226"/>
      <c r="AP261" s="226"/>
      <c r="AQ261" s="226"/>
      <c r="AR261" s="226"/>
      <c r="AS261" s="226"/>
      <c r="AT261" s="226"/>
      <c r="AU261" s="226"/>
      <c r="AV261" s="226"/>
      <c r="AW261" s="226"/>
      <c r="AX261" s="226"/>
      <c r="AY261" s="226"/>
      <c r="AZ261" s="110" t="s">
        <v>28</v>
      </c>
      <c r="BA261" s="284">
        <f>ROUND(1 + (AB261 - 1) *(AH261 / D263),2)</f>
        <v>1.19</v>
      </c>
      <c r="BB261" s="285"/>
      <c r="BC261" s="285"/>
      <c r="BD261" s="285"/>
      <c r="BE261" s="285"/>
      <c r="BF261" s="100"/>
      <c r="BG261" s="100"/>
      <c r="BH261" s="101"/>
      <c r="BI261" s="87"/>
      <c r="BJ261" s="151">
        <f>(1+(BA260-1)+(BA261-1))</f>
        <v>1.25</v>
      </c>
      <c r="BK261" s="87"/>
      <c r="BO261" s="87"/>
      <c r="BP261" s="87"/>
      <c r="BQ261" s="87"/>
      <c r="BR261" s="87"/>
      <c r="BS261" s="87"/>
      <c r="BT261" s="87"/>
      <c r="BU261" s="87"/>
      <c r="BV261" s="87"/>
      <c r="BW261" s="87"/>
      <c r="BX261" s="87"/>
      <c r="BY261" s="87"/>
      <c r="BZ261" s="87"/>
      <c r="CA261" s="87"/>
      <c r="CB261" s="87"/>
      <c r="CC261" s="87"/>
      <c r="CD261" s="87"/>
      <c r="CE261" s="87"/>
      <c r="CF261" s="87"/>
      <c r="CG261" s="87"/>
      <c r="CH261" s="87"/>
      <c r="CI261" s="87"/>
      <c r="CJ261" s="87"/>
      <c r="CK261" s="87"/>
      <c r="CL261" s="87"/>
      <c r="CM261" s="87"/>
      <c r="CN261" s="87"/>
      <c r="CO261" s="87"/>
      <c r="CP261" s="87"/>
      <c r="CQ261" s="87"/>
      <c r="CR261" s="87"/>
      <c r="CS261" s="87"/>
      <c r="CT261" s="87"/>
      <c r="CU261" s="87"/>
      <c r="CV261" s="87"/>
      <c r="CW261" s="87"/>
      <c r="CX261" s="87"/>
      <c r="CY261" s="87"/>
      <c r="CZ261" s="87"/>
      <c r="DA261" s="87"/>
      <c r="DB261" s="119"/>
    </row>
    <row r="262" spans="1:106" s="88" customFormat="1" ht="12" customHeight="1">
      <c r="A262" s="129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1"/>
      <c r="X262" s="224" t="s">
        <v>190</v>
      </c>
      <c r="Y262" s="225"/>
      <c r="Z262" s="225"/>
      <c r="AA262" s="94" t="s">
        <v>28</v>
      </c>
      <c r="AB262" s="226" t="str">
        <f>CONCATENATE(BA259," x [1 + (",BA260," - 1) + (",BA261," - 1)] = ",BA259," x ",BJ261," = ")</f>
        <v xml:space="preserve">3,7 x [1 + (1,06 - 1) + (1,19 - 1)] = 3,7 x 1,25 = </v>
      </c>
      <c r="AC262" s="226"/>
      <c r="AD262" s="226"/>
      <c r="AE262" s="226"/>
      <c r="AF262" s="226"/>
      <c r="AG262" s="226"/>
      <c r="AH262" s="226"/>
      <c r="AI262" s="226"/>
      <c r="AJ262" s="226"/>
      <c r="AK262" s="226"/>
      <c r="AL262" s="226"/>
      <c r="AM262" s="226"/>
      <c r="AN262" s="226"/>
      <c r="AO262" s="226"/>
      <c r="AP262" s="226"/>
      <c r="AQ262" s="226"/>
      <c r="AR262" s="226"/>
      <c r="AS262" s="226"/>
      <c r="AT262" s="226"/>
      <c r="AU262" s="226"/>
      <c r="AV262" s="226"/>
      <c r="AW262" s="226"/>
      <c r="AX262" s="226"/>
      <c r="AY262" s="226"/>
      <c r="AZ262" s="227"/>
      <c r="BA262" s="210">
        <f>ROUND(BA259*BJ261,2)</f>
        <v>4.63</v>
      </c>
      <c r="BB262" s="211"/>
      <c r="BC262" s="211"/>
      <c r="BD262" s="211"/>
      <c r="BE262" s="211"/>
      <c r="BF262" s="212" t="s">
        <v>163</v>
      </c>
      <c r="BG262" s="212"/>
      <c r="BH262" s="213"/>
      <c r="BI262" s="87"/>
      <c r="BJ262" s="144"/>
      <c r="BK262" s="87"/>
      <c r="BL262" s="87"/>
      <c r="BM262" s="87"/>
      <c r="BN262" s="87"/>
      <c r="BO262" s="87"/>
      <c r="BP262" s="87"/>
      <c r="BQ262" s="87"/>
      <c r="BR262" s="87"/>
      <c r="BS262" s="87"/>
      <c r="BT262" s="87"/>
      <c r="BU262" s="87"/>
      <c r="BV262" s="87"/>
      <c r="BW262" s="87"/>
      <c r="BX262" s="87"/>
      <c r="BY262" s="87"/>
      <c r="BZ262" s="87"/>
      <c r="CA262" s="87"/>
      <c r="CB262" s="87"/>
      <c r="CC262" s="87"/>
      <c r="CD262" s="87"/>
      <c r="CE262" s="87"/>
      <c r="CF262" s="87"/>
      <c r="CG262" s="87"/>
      <c r="CH262" s="87"/>
      <c r="CI262" s="87"/>
      <c r="CJ262" s="87"/>
      <c r="CK262" s="87"/>
      <c r="CL262" s="87"/>
      <c r="CM262" s="87"/>
      <c r="CN262" s="87"/>
      <c r="CO262" s="87"/>
      <c r="CP262" s="87"/>
      <c r="CQ262" s="87"/>
      <c r="CR262" s="87"/>
      <c r="CS262" s="87"/>
      <c r="CT262" s="87"/>
      <c r="CU262" s="87"/>
      <c r="CV262" s="87"/>
      <c r="CW262" s="87"/>
      <c r="CX262" s="87"/>
      <c r="CY262" s="87"/>
      <c r="CZ262" s="87"/>
      <c r="DA262" s="87"/>
      <c r="DB262" s="119"/>
    </row>
    <row r="263" spans="1:106" s="88" customFormat="1" ht="12" customHeight="1">
      <c r="A263" s="214" t="s">
        <v>170</v>
      </c>
      <c r="B263" s="215"/>
      <c r="C263" s="113" t="s">
        <v>28</v>
      </c>
      <c r="D263" s="216">
        <v>107</v>
      </c>
      <c r="E263" s="216"/>
      <c r="F263" s="216"/>
      <c r="G263" s="216"/>
      <c r="H263" s="216"/>
      <c r="I263" s="218" t="s">
        <v>235</v>
      </c>
      <c r="J263" s="218"/>
      <c r="K263" s="218"/>
      <c r="L263" s="218"/>
      <c r="M263" s="218"/>
      <c r="N263" s="218"/>
      <c r="O263" s="120"/>
      <c r="P263" s="120"/>
      <c r="Q263" s="120"/>
      <c r="R263" s="215"/>
      <c r="S263" s="215"/>
      <c r="T263" s="113"/>
      <c r="U263" s="217"/>
      <c r="V263" s="218"/>
      <c r="W263" s="219"/>
      <c r="X263" s="220" t="s">
        <v>162</v>
      </c>
      <c r="Y263" s="221"/>
      <c r="Z263" s="221"/>
      <c r="AA263" s="97" t="s">
        <v>28</v>
      </c>
      <c r="AB263" s="222" t="str">
        <f ca="1">CONCATENATE(BA262," x ",$AO$17," x ", AP256," x [1 + 0,5 x (",AW256," - 1)]  = ")</f>
        <v xml:space="preserve">4,63 x 307,7 x 1,1263 x [1 + 0,5 x (1,0298 - 1)]  = </v>
      </c>
      <c r="AC263" s="222"/>
      <c r="AD263" s="222"/>
      <c r="AE263" s="222"/>
      <c r="AF263" s="222"/>
      <c r="AG263" s="222"/>
      <c r="AH263" s="222"/>
      <c r="AI263" s="222"/>
      <c r="AJ263" s="222"/>
      <c r="AK263" s="222"/>
      <c r="AL263" s="222"/>
      <c r="AM263" s="222"/>
      <c r="AN263" s="222"/>
      <c r="AO263" s="222"/>
      <c r="AP263" s="222"/>
      <c r="AQ263" s="222"/>
      <c r="AR263" s="222"/>
      <c r="AS263" s="222"/>
      <c r="AT263" s="222"/>
      <c r="AU263" s="222"/>
      <c r="AV263" s="222"/>
      <c r="AW263" s="222"/>
      <c r="AX263" s="222"/>
      <c r="AY263" s="222"/>
      <c r="AZ263" s="223"/>
      <c r="BA263" s="268">
        <f ca="1">ROUND(BA262*$AO$17*AP256*(1+0.5*(AW256-1)),2)</f>
        <v>1628.49</v>
      </c>
      <c r="BB263" s="269"/>
      <c r="BC263" s="269"/>
      <c r="BD263" s="269"/>
      <c r="BE263" s="269"/>
      <c r="BF263" s="270" t="s">
        <v>23</v>
      </c>
      <c r="BG263" s="270"/>
      <c r="BH263" s="271"/>
      <c r="BI263" s="87"/>
      <c r="BJ263" s="87"/>
      <c r="BK263" s="87"/>
      <c r="BL263" s="87"/>
      <c r="BM263" s="87"/>
      <c r="BN263" s="87"/>
      <c r="BO263" s="87"/>
      <c r="BP263" s="87"/>
      <c r="BQ263" s="87"/>
      <c r="BR263" s="87"/>
      <c r="BS263" s="87"/>
      <c r="BT263" s="87"/>
      <c r="BU263" s="87"/>
      <c r="BV263" s="87"/>
      <c r="BW263" s="87"/>
      <c r="BX263" s="87"/>
      <c r="BY263" s="87"/>
      <c r="BZ263" s="87"/>
      <c r="CA263" s="87"/>
      <c r="CB263" s="87"/>
      <c r="CC263" s="87"/>
      <c r="CD263" s="87"/>
      <c r="CE263" s="87"/>
      <c r="CF263" s="87"/>
      <c r="CG263" s="87"/>
      <c r="CH263" s="87"/>
      <c r="CI263" s="87"/>
      <c r="CJ263" s="87"/>
      <c r="CK263" s="87"/>
      <c r="CL263" s="87"/>
      <c r="CM263" s="87"/>
      <c r="CN263" s="87"/>
      <c r="CO263" s="87"/>
      <c r="CP263" s="87"/>
      <c r="CQ263" s="87"/>
      <c r="CR263" s="87"/>
      <c r="CS263" s="87"/>
      <c r="CT263" s="87"/>
      <c r="CU263" s="87"/>
      <c r="CV263" s="87"/>
      <c r="CW263" s="87"/>
      <c r="CX263" s="87"/>
      <c r="CY263" s="87"/>
      <c r="CZ263" s="87"/>
      <c r="DA263" s="87"/>
      <c r="DB263" s="119"/>
    </row>
    <row r="264" spans="1:106" s="88" customFormat="1" ht="12" customHeight="1">
      <c r="A264" s="427" t="s">
        <v>240</v>
      </c>
      <c r="B264" s="428"/>
      <c r="C264" s="428"/>
      <c r="D264" s="428"/>
      <c r="E264" s="428"/>
      <c r="F264" s="428"/>
      <c r="G264" s="428"/>
      <c r="H264" s="428"/>
      <c r="I264" s="428"/>
      <c r="J264" s="428"/>
      <c r="K264" s="428"/>
      <c r="L264" s="428"/>
      <c r="M264" s="428"/>
      <c r="N264" s="428"/>
      <c r="O264" s="428"/>
      <c r="P264" s="428"/>
      <c r="Q264" s="428"/>
      <c r="R264" s="428"/>
      <c r="S264" s="428"/>
      <c r="T264" s="428"/>
      <c r="U264" s="428"/>
      <c r="V264" s="428"/>
      <c r="W264" s="429"/>
      <c r="X264" s="299" t="s">
        <v>45</v>
      </c>
      <c r="Y264" s="300"/>
      <c r="Z264" s="300"/>
      <c r="AA264" s="300"/>
      <c r="AB264" s="301">
        <f ca="1">график!C37</f>
        <v>45566</v>
      </c>
      <c r="AC264" s="302"/>
      <c r="AD264" s="302"/>
      <c r="AE264" s="302"/>
      <c r="AF264" s="302"/>
      <c r="AG264" s="169" t="s">
        <v>1</v>
      </c>
      <c r="AH264" s="303">
        <f ca="1">график!E37</f>
        <v>45658</v>
      </c>
      <c r="AI264" s="304"/>
      <c r="AJ264" s="304"/>
      <c r="AK264" s="304"/>
      <c r="AL264" s="304"/>
      <c r="AM264" s="293" t="s">
        <v>158</v>
      </c>
      <c r="AN264" s="293"/>
      <c r="AO264" s="170" t="s">
        <v>28</v>
      </c>
      <c r="AP264" s="294">
        <f ca="1">график!F37</f>
        <v>1.1263000000000001</v>
      </c>
      <c r="AQ264" s="294"/>
      <c r="AR264" s="294"/>
      <c r="AS264" s="294"/>
      <c r="AT264" s="293" t="s">
        <v>159</v>
      </c>
      <c r="AU264" s="293"/>
      <c r="AV264" s="170" t="s">
        <v>28</v>
      </c>
      <c r="AW264" s="295">
        <f ca="1">график!G37</f>
        <v>1.0298</v>
      </c>
      <c r="AX264" s="295"/>
      <c r="AY264" s="295"/>
      <c r="AZ264" s="296"/>
      <c r="BA264" s="430"/>
      <c r="BB264" s="431"/>
      <c r="BC264" s="431"/>
      <c r="BD264" s="431"/>
      <c r="BE264" s="431"/>
      <c r="BF264" s="431"/>
      <c r="BG264" s="431"/>
      <c r="BH264" s="432"/>
      <c r="BI264" s="87"/>
      <c r="BJ264" s="87"/>
      <c r="BK264" s="87"/>
      <c r="BL264" s="87"/>
      <c r="BM264" s="87"/>
      <c r="BN264" s="87"/>
      <c r="BO264" s="87"/>
      <c r="BP264" s="87"/>
      <c r="BQ264" s="87"/>
      <c r="BR264" s="87"/>
      <c r="BS264" s="87"/>
      <c r="BT264" s="87"/>
      <c r="BU264" s="87"/>
      <c r="BV264" s="87"/>
      <c r="BW264" s="87"/>
      <c r="BX264" s="87"/>
      <c r="BY264" s="87"/>
      <c r="BZ264" s="87"/>
      <c r="CA264" s="87"/>
      <c r="CB264" s="87"/>
      <c r="CC264" s="87"/>
      <c r="CD264" s="87"/>
      <c r="CE264" s="87"/>
      <c r="CF264" s="87"/>
      <c r="CG264" s="87"/>
      <c r="CH264" s="87"/>
      <c r="CI264" s="87"/>
      <c r="CJ264" s="87"/>
      <c r="CK264" s="87"/>
      <c r="CL264" s="87"/>
      <c r="CM264" s="87"/>
      <c r="CN264" s="87"/>
      <c r="CO264" s="87"/>
      <c r="CP264" s="87"/>
      <c r="CQ264" s="87"/>
      <c r="CR264" s="87"/>
      <c r="CS264" s="87"/>
      <c r="CT264" s="87"/>
      <c r="CU264" s="87"/>
      <c r="CV264" s="87"/>
      <c r="CW264" s="87"/>
      <c r="CX264" s="87"/>
      <c r="CY264" s="87"/>
      <c r="CZ264" s="87"/>
      <c r="DA264" s="87"/>
      <c r="DB264" s="119"/>
    </row>
    <row r="265" spans="1:106" s="88" customFormat="1" ht="12" customHeight="1">
      <c r="A265" s="273" t="s">
        <v>232</v>
      </c>
      <c r="B265" s="274"/>
      <c r="C265" s="274"/>
      <c r="D265" s="274"/>
      <c r="E265" s="274"/>
      <c r="F265" s="274"/>
      <c r="G265" s="274"/>
      <c r="H265" s="274"/>
      <c r="I265" s="274"/>
      <c r="J265" s="274"/>
      <c r="K265" s="274"/>
      <c r="L265" s="274"/>
      <c r="M265" s="274"/>
      <c r="N265" s="274"/>
      <c r="O265" s="274"/>
      <c r="P265" s="274"/>
      <c r="Q265" s="274"/>
      <c r="R265" s="274"/>
      <c r="S265" s="274"/>
      <c r="T265" s="274"/>
      <c r="U265" s="274"/>
      <c r="V265" s="274"/>
      <c r="W265" s="275"/>
      <c r="X265" s="208" t="s">
        <v>39</v>
      </c>
      <c r="Y265" s="209"/>
      <c r="Z265" s="209"/>
      <c r="AA265" s="44" t="s">
        <v>28</v>
      </c>
      <c r="AB265" s="276">
        <v>0.5</v>
      </c>
      <c r="AC265" s="276"/>
      <c r="AD265" s="276"/>
      <c r="AE265" s="276"/>
      <c r="AF265" s="248" t="s">
        <v>40</v>
      </c>
      <c r="AG265" s="209"/>
      <c r="AH265" s="209"/>
      <c r="AI265" s="209"/>
      <c r="AJ265" s="209"/>
      <c r="AK265" s="44" t="s">
        <v>28</v>
      </c>
      <c r="AL265" s="289">
        <v>12</v>
      </c>
      <c r="AM265" s="290"/>
      <c r="AN265" s="290"/>
      <c r="AO265" s="290"/>
      <c r="AP265" s="290"/>
      <c r="AQ265" s="258"/>
      <c r="AR265" s="258"/>
      <c r="AS265" s="272"/>
      <c r="AT265" s="272"/>
      <c r="AU265" s="272"/>
      <c r="AV265" s="98"/>
      <c r="AW265" s="263"/>
      <c r="AX265" s="226"/>
      <c r="AY265" s="226"/>
      <c r="AZ265" s="227"/>
      <c r="BA265" s="210"/>
      <c r="BB265" s="211"/>
      <c r="BC265" s="211"/>
      <c r="BD265" s="211"/>
      <c r="BE265" s="211"/>
      <c r="BF265" s="212"/>
      <c r="BG265" s="212"/>
      <c r="BH265" s="213"/>
      <c r="BI265" s="87"/>
      <c r="BJ265" s="87"/>
      <c r="BK265" s="87"/>
      <c r="BL265" s="87"/>
      <c r="BM265" s="87"/>
      <c r="BN265" s="87"/>
      <c r="BO265" s="87"/>
      <c r="BP265" s="87"/>
      <c r="BQ265" s="87"/>
      <c r="BR265" s="87"/>
      <c r="BS265" s="87"/>
      <c r="BT265" s="87"/>
      <c r="BU265" s="87"/>
      <c r="BV265" s="87"/>
      <c r="BW265" s="87"/>
      <c r="BX265" s="87"/>
      <c r="BY265" s="87"/>
      <c r="BZ265" s="87"/>
      <c r="CA265" s="87"/>
      <c r="CB265" s="87"/>
      <c r="CC265" s="87"/>
      <c r="CD265" s="87"/>
      <c r="CE265" s="87"/>
      <c r="CF265" s="87"/>
      <c r="CG265" s="87"/>
      <c r="CH265" s="87"/>
      <c r="CI265" s="87"/>
      <c r="CJ265" s="87"/>
      <c r="CK265" s="87"/>
      <c r="CL265" s="87"/>
      <c r="CM265" s="87"/>
      <c r="CN265" s="87"/>
      <c r="CO265" s="87"/>
      <c r="CP265" s="87"/>
      <c r="CQ265" s="87"/>
      <c r="CR265" s="87"/>
      <c r="CS265" s="87"/>
      <c r="CT265" s="87"/>
      <c r="CU265" s="87"/>
      <c r="CV265" s="87"/>
      <c r="CW265" s="87"/>
      <c r="CX265" s="87"/>
      <c r="CY265" s="87"/>
      <c r="CZ265" s="87"/>
      <c r="DA265" s="87"/>
      <c r="DB265" s="119"/>
    </row>
    <row r="266" spans="1:106" s="88" customFormat="1" ht="12" customHeight="1">
      <c r="A266" s="273"/>
      <c r="B266" s="274"/>
      <c r="C266" s="274"/>
      <c r="D266" s="274"/>
      <c r="E266" s="274"/>
      <c r="F266" s="274"/>
      <c r="G266" s="274"/>
      <c r="H266" s="274"/>
      <c r="I266" s="274"/>
      <c r="J266" s="274"/>
      <c r="K266" s="274"/>
      <c r="L266" s="274"/>
      <c r="M266" s="274"/>
      <c r="N266" s="274"/>
      <c r="O266" s="274"/>
      <c r="P266" s="274"/>
      <c r="Q266" s="274"/>
      <c r="R266" s="274"/>
      <c r="S266" s="274"/>
      <c r="T266" s="274"/>
      <c r="U266" s="274"/>
      <c r="V266" s="274"/>
      <c r="W266" s="275"/>
      <c r="X266" s="208" t="s">
        <v>43</v>
      </c>
      <c r="Y266" s="209"/>
      <c r="Z266" s="209"/>
      <c r="AA266" s="44" t="s">
        <v>28</v>
      </c>
      <c r="AB266" s="226">
        <v>1</v>
      </c>
      <c r="AC266" s="226"/>
      <c r="AD266" s="226"/>
      <c r="AE266" s="226"/>
      <c r="AF266" s="248" t="s">
        <v>44</v>
      </c>
      <c r="AG266" s="209"/>
      <c r="AH266" s="209"/>
      <c r="AI266" s="209"/>
      <c r="AJ266" s="209"/>
      <c r="AK266" s="44" t="s">
        <v>28</v>
      </c>
      <c r="AL266" s="289">
        <v>22</v>
      </c>
      <c r="AM266" s="290"/>
      <c r="AN266" s="290"/>
      <c r="AO266" s="290"/>
      <c r="AP266" s="290"/>
      <c r="AQ266" s="108"/>
      <c r="AR266" s="108"/>
      <c r="AS266" s="108"/>
      <c r="AT266" s="108"/>
      <c r="AU266" s="108"/>
      <c r="AV266" s="108"/>
      <c r="AW266" s="108"/>
      <c r="AX266" s="108"/>
      <c r="AY266" s="108"/>
      <c r="AZ266" s="135"/>
      <c r="BA266" s="210"/>
      <c r="BB266" s="211"/>
      <c r="BC266" s="211"/>
      <c r="BD266" s="211"/>
      <c r="BE266" s="211"/>
      <c r="BF266" s="212"/>
      <c r="BG266" s="212"/>
      <c r="BH266" s="213"/>
      <c r="BI266" s="87"/>
      <c r="BJ266" s="87"/>
      <c r="BK266" s="87"/>
      <c r="BL266" s="87"/>
      <c r="BM266" s="87"/>
      <c r="BN266" s="87"/>
      <c r="BO266" s="87"/>
      <c r="BP266" s="87"/>
      <c r="BQ266" s="87"/>
      <c r="BR266" s="87"/>
      <c r="BS266" s="87"/>
      <c r="BT266" s="87"/>
      <c r="BU266" s="87"/>
      <c r="BV266" s="87"/>
      <c r="BW266" s="87"/>
      <c r="BX266" s="87"/>
      <c r="BY266" s="87"/>
      <c r="BZ266" s="87"/>
      <c r="CA266" s="87"/>
      <c r="CB266" s="87"/>
      <c r="CC266" s="87"/>
      <c r="CD266" s="87"/>
      <c r="CE266" s="87"/>
      <c r="CF266" s="87"/>
      <c r="CG266" s="87"/>
      <c r="CH266" s="87"/>
      <c r="CI266" s="87"/>
      <c r="CJ266" s="87"/>
      <c r="CK266" s="87"/>
      <c r="CL266" s="87"/>
      <c r="CM266" s="87"/>
      <c r="CN266" s="87"/>
      <c r="CO266" s="87"/>
      <c r="CP266" s="87"/>
      <c r="CQ266" s="87"/>
      <c r="CR266" s="87"/>
      <c r="CS266" s="87"/>
      <c r="CT266" s="87"/>
      <c r="CU266" s="87"/>
      <c r="CV266" s="87"/>
      <c r="CW266" s="87"/>
      <c r="CX266" s="87"/>
      <c r="CY266" s="87"/>
      <c r="CZ266" s="87"/>
      <c r="DA266" s="87"/>
      <c r="DB266" s="119"/>
    </row>
    <row r="267" spans="1:106" s="88" customFormat="1" ht="12" customHeight="1">
      <c r="A267" s="273"/>
      <c r="B267" s="274"/>
      <c r="C267" s="274"/>
      <c r="D267" s="274"/>
      <c r="E267" s="274"/>
      <c r="F267" s="274"/>
      <c r="G267" s="274"/>
      <c r="H267" s="274"/>
      <c r="I267" s="274"/>
      <c r="J267" s="274"/>
      <c r="K267" s="274"/>
      <c r="L267" s="274"/>
      <c r="M267" s="274"/>
      <c r="N267" s="274"/>
      <c r="O267" s="274"/>
      <c r="P267" s="274"/>
      <c r="Q267" s="274"/>
      <c r="R267" s="274"/>
      <c r="S267" s="274"/>
      <c r="T267" s="274"/>
      <c r="U267" s="274"/>
      <c r="V267" s="274"/>
      <c r="W267" s="275"/>
      <c r="X267" s="224" t="s">
        <v>22</v>
      </c>
      <c r="Y267" s="225"/>
      <c r="Z267" s="225"/>
      <c r="AA267" s="94" t="s">
        <v>28</v>
      </c>
      <c r="AB267" s="226" t="str">
        <f>CONCATENATE(AL265," + [(",AL266," - ", AL265,") / (",AB266," - ", AB265,")] x (",D268," - ",AB265,")  = ")</f>
        <v xml:space="preserve">12 + [(22 - 12) / (1 - 0,5)] x (0,79 - 0,5)  = </v>
      </c>
      <c r="AC267" s="226"/>
      <c r="AD267" s="226"/>
      <c r="AE267" s="226"/>
      <c r="AF267" s="226"/>
      <c r="AG267" s="226"/>
      <c r="AH267" s="226"/>
      <c r="AI267" s="226"/>
      <c r="AJ267" s="226"/>
      <c r="AK267" s="226"/>
      <c r="AL267" s="226"/>
      <c r="AM267" s="226"/>
      <c r="AN267" s="226"/>
      <c r="AO267" s="226"/>
      <c r="AP267" s="226"/>
      <c r="AQ267" s="226"/>
      <c r="AR267" s="226"/>
      <c r="AS267" s="226"/>
      <c r="AT267" s="226"/>
      <c r="AU267" s="226"/>
      <c r="AV267" s="226"/>
      <c r="AW267" s="226"/>
      <c r="AX267" s="226"/>
      <c r="AY267" s="226"/>
      <c r="AZ267" s="227"/>
      <c r="BA267" s="210">
        <f>ROUND(AL265 + ((AL266-AL265) / (AB266-AB265)) * (D268-AB265),2)</f>
        <v>17.8</v>
      </c>
      <c r="BB267" s="211"/>
      <c r="BC267" s="211"/>
      <c r="BD267" s="211"/>
      <c r="BE267" s="211"/>
      <c r="BF267" s="212" t="s">
        <v>163</v>
      </c>
      <c r="BG267" s="212"/>
      <c r="BH267" s="213"/>
      <c r="BI267" s="87"/>
      <c r="BJ267" s="144" t="s">
        <v>171</v>
      </c>
      <c r="BK267" s="87"/>
      <c r="BL267" s="87"/>
      <c r="BM267" s="87"/>
      <c r="BN267" s="87"/>
      <c r="BO267" s="87"/>
      <c r="BP267" s="87"/>
      <c r="BQ267" s="87"/>
      <c r="BR267" s="87"/>
      <c r="BS267" s="87"/>
      <c r="BT267" s="87"/>
      <c r="BU267" s="87"/>
      <c r="BV267" s="87"/>
      <c r="BW267" s="87"/>
      <c r="BX267" s="87"/>
      <c r="BY267" s="87"/>
      <c r="BZ267" s="87"/>
      <c r="CA267" s="87"/>
      <c r="CB267" s="87"/>
      <c r="CC267" s="87"/>
      <c r="CD267" s="87"/>
      <c r="CE267" s="87"/>
      <c r="CF267" s="87"/>
      <c r="CG267" s="87"/>
      <c r="CH267" s="87"/>
      <c r="CI267" s="87"/>
      <c r="CJ267" s="87"/>
      <c r="CK267" s="87"/>
      <c r="CL267" s="87"/>
      <c r="CM267" s="87"/>
      <c r="CN267" s="87"/>
      <c r="CO267" s="87"/>
      <c r="CP267" s="87"/>
      <c r="CQ267" s="87"/>
      <c r="CR267" s="87"/>
      <c r="CS267" s="87"/>
      <c r="CT267" s="87"/>
      <c r="CU267" s="87"/>
      <c r="CV267" s="87"/>
      <c r="CW267" s="87"/>
      <c r="CX267" s="87"/>
      <c r="CY267" s="87"/>
      <c r="CZ267" s="87"/>
      <c r="DA267" s="87"/>
      <c r="DB267" s="119"/>
    </row>
    <row r="268" spans="1:106" s="88" customFormat="1" ht="12" customHeight="1">
      <c r="A268" s="214" t="s">
        <v>170</v>
      </c>
      <c r="B268" s="215"/>
      <c r="C268" s="113" t="s">
        <v>28</v>
      </c>
      <c r="D268" s="305">
        <v>0.79</v>
      </c>
      <c r="E268" s="305"/>
      <c r="F268" s="305"/>
      <c r="G268" s="305"/>
      <c r="H268" s="305"/>
      <c r="I268" s="218" t="s">
        <v>236</v>
      </c>
      <c r="J268" s="218"/>
      <c r="K268" s="218"/>
      <c r="L268" s="218"/>
      <c r="M268" s="218"/>
      <c r="N268" s="218"/>
      <c r="O268" s="120"/>
      <c r="P268" s="120"/>
      <c r="Q268" s="120"/>
      <c r="R268" s="215"/>
      <c r="S268" s="215"/>
      <c r="T268" s="113"/>
      <c r="U268" s="217"/>
      <c r="V268" s="218"/>
      <c r="W268" s="219"/>
      <c r="X268" s="220" t="s">
        <v>162</v>
      </c>
      <c r="Y268" s="221"/>
      <c r="Z268" s="221"/>
      <c r="AA268" s="97" t="s">
        <v>28</v>
      </c>
      <c r="AB268" s="222" t="str">
        <f ca="1">CONCATENATE(BA267," x ",$AO$17," x ", AP264," x [1 + 0,5 x (",AW264," - 1)]  = ")</f>
        <v xml:space="preserve">17,8 x 307,7 x 1,1263 x [1 + 0,5 x (1,0298 - 1)]  = </v>
      </c>
      <c r="AC268" s="222"/>
      <c r="AD268" s="222"/>
      <c r="AE268" s="222"/>
      <c r="AF268" s="222"/>
      <c r="AG268" s="222"/>
      <c r="AH268" s="222"/>
      <c r="AI268" s="222"/>
      <c r="AJ268" s="222"/>
      <c r="AK268" s="222"/>
      <c r="AL268" s="222"/>
      <c r="AM268" s="222"/>
      <c r="AN268" s="222"/>
      <c r="AO268" s="222"/>
      <c r="AP268" s="222"/>
      <c r="AQ268" s="222"/>
      <c r="AR268" s="222"/>
      <c r="AS268" s="222"/>
      <c r="AT268" s="222"/>
      <c r="AU268" s="222"/>
      <c r="AV268" s="222"/>
      <c r="AW268" s="222"/>
      <c r="AX268" s="222"/>
      <c r="AY268" s="222"/>
      <c r="AZ268" s="223"/>
      <c r="BA268" s="268">
        <f ca="1">ROUND(BA267*$AO$17*AP264*(1+0.5*(AW264-1)),2)</f>
        <v>6260.73</v>
      </c>
      <c r="BB268" s="269"/>
      <c r="BC268" s="269"/>
      <c r="BD268" s="269"/>
      <c r="BE268" s="269"/>
      <c r="BF268" s="270" t="s">
        <v>23</v>
      </c>
      <c r="BG268" s="270"/>
      <c r="BH268" s="271"/>
      <c r="BI268" s="87"/>
      <c r="BJ268" s="87"/>
      <c r="BK268" s="87"/>
      <c r="BL268" s="87"/>
      <c r="BM268" s="87"/>
      <c r="BN268" s="87"/>
      <c r="BO268" s="87"/>
      <c r="BP268" s="87"/>
      <c r="BQ268" s="87"/>
      <c r="BR268" s="87"/>
      <c r="BS268" s="87"/>
      <c r="BT268" s="87"/>
      <c r="BU268" s="87"/>
      <c r="BV268" s="87"/>
      <c r="BW268" s="87"/>
      <c r="BX268" s="87"/>
      <c r="BY268" s="87"/>
      <c r="BZ268" s="87"/>
      <c r="CA268" s="87"/>
      <c r="CB268" s="87"/>
      <c r="CC268" s="87"/>
      <c r="CD268" s="87"/>
      <c r="CE268" s="87"/>
      <c r="CF268" s="87"/>
      <c r="CG268" s="87"/>
      <c r="CH268" s="87"/>
      <c r="CI268" s="87"/>
      <c r="CJ268" s="87"/>
      <c r="CK268" s="87"/>
      <c r="CL268" s="87"/>
      <c r="CM268" s="87"/>
      <c r="CN268" s="87"/>
      <c r="CO268" s="87"/>
      <c r="CP268" s="87"/>
      <c r="CQ268" s="87"/>
      <c r="CR268" s="87"/>
      <c r="CS268" s="87"/>
      <c r="CT268" s="87"/>
      <c r="CU268" s="87"/>
      <c r="CV268" s="87"/>
      <c r="CW268" s="87"/>
      <c r="CX268" s="87"/>
      <c r="CY268" s="87"/>
      <c r="CZ268" s="87"/>
      <c r="DA268" s="87"/>
      <c r="DB268" s="119"/>
    </row>
    <row r="269" spans="1:106" ht="12" customHeight="1">
      <c r="A269" s="103" t="s">
        <v>222</v>
      </c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5"/>
      <c r="AL269" s="105"/>
      <c r="AM269" s="105"/>
      <c r="AN269" s="105"/>
      <c r="AO269" s="105"/>
      <c r="AP269" s="105"/>
      <c r="AQ269" s="106"/>
      <c r="AR269" s="107"/>
      <c r="AS269" s="106"/>
      <c r="AT269" s="106"/>
      <c r="AU269" s="106"/>
      <c r="AV269" s="106"/>
      <c r="AW269" s="291" t="s">
        <v>22</v>
      </c>
      <c r="AX269" s="291"/>
      <c r="AY269" s="291"/>
      <c r="AZ269" s="156" t="s">
        <v>28</v>
      </c>
      <c r="BA269" s="292">
        <f>BA254+BA262+BA267</f>
        <v>234.20000000000002</v>
      </c>
      <c r="BB269" s="292"/>
      <c r="BC269" s="292"/>
      <c r="BD269" s="292"/>
      <c r="BE269" s="292"/>
      <c r="BF269" s="157" t="s">
        <v>163</v>
      </c>
      <c r="BG269" s="157"/>
      <c r="BH269" s="158"/>
    </row>
    <row r="270" spans="1:106" s="88" customFormat="1" ht="12" customHeight="1">
      <c r="A270" s="264" t="s">
        <v>160</v>
      </c>
      <c r="B270" s="265"/>
      <c r="C270" s="265"/>
      <c r="D270" s="265"/>
      <c r="E270" s="265"/>
      <c r="F270" s="265"/>
      <c r="G270" s="265"/>
      <c r="H270" s="265"/>
      <c r="I270" s="265"/>
      <c r="J270" s="265"/>
      <c r="K270" s="265"/>
      <c r="L270" s="265"/>
      <c r="M270" s="265"/>
      <c r="N270" s="265"/>
      <c r="O270" s="265"/>
      <c r="P270" s="265"/>
      <c r="Q270" s="265"/>
      <c r="R270" s="265"/>
      <c r="S270" s="265"/>
      <c r="T270" s="265"/>
      <c r="U270" s="265"/>
      <c r="V270" s="265"/>
      <c r="W270" s="265"/>
      <c r="X270" s="111"/>
      <c r="Y270" s="111"/>
      <c r="Z270" s="111"/>
      <c r="AA270" s="111"/>
      <c r="AB270" s="114"/>
      <c r="AC270" s="114"/>
      <c r="AD270" s="114"/>
      <c r="AE270" s="114"/>
      <c r="AF270" s="114"/>
      <c r="AG270" s="114"/>
      <c r="AH270" s="114"/>
      <c r="AI270" s="114"/>
      <c r="AJ270" s="114"/>
      <c r="AK270" s="114"/>
      <c r="AL270" s="114"/>
      <c r="AM270" s="114"/>
      <c r="AN270" s="114"/>
      <c r="AO270" s="114"/>
      <c r="AP270" s="114"/>
      <c r="AQ270" s="114"/>
      <c r="AR270" s="114"/>
      <c r="AS270" s="114"/>
      <c r="AT270" s="115"/>
      <c r="AU270" s="115"/>
      <c r="AV270" s="116"/>
      <c r="AW270" s="266" t="s">
        <v>167</v>
      </c>
      <c r="AX270" s="266"/>
      <c r="AY270" s="266"/>
      <c r="AZ270" s="112" t="s">
        <v>28</v>
      </c>
      <c r="BA270" s="260">
        <f ca="1">BA255+BA263+BA268</f>
        <v>82374.3</v>
      </c>
      <c r="BB270" s="260"/>
      <c r="BC270" s="260"/>
      <c r="BD270" s="260"/>
      <c r="BE270" s="260"/>
      <c r="BF270" s="261" t="s">
        <v>23</v>
      </c>
      <c r="BG270" s="261"/>
      <c r="BH270" s="262"/>
      <c r="BI270" s="87"/>
      <c r="BJ270" s="87"/>
      <c r="BK270" s="87"/>
      <c r="BL270" s="87"/>
      <c r="BM270" s="87"/>
      <c r="BN270" s="87"/>
      <c r="BO270" s="87"/>
      <c r="BP270" s="87"/>
      <c r="BQ270" s="87"/>
      <c r="BR270" s="87"/>
      <c r="BS270" s="87"/>
      <c r="BT270" s="87"/>
      <c r="BU270" s="87"/>
      <c r="BV270" s="87"/>
      <c r="BW270" s="87"/>
      <c r="BX270" s="87"/>
      <c r="BY270" s="87"/>
      <c r="BZ270" s="87"/>
      <c r="CA270" s="87"/>
      <c r="CB270" s="87"/>
      <c r="CC270" s="87"/>
      <c r="CD270" s="87"/>
      <c r="CE270" s="87"/>
      <c r="CF270" s="87"/>
      <c r="CG270" s="87"/>
      <c r="CH270" s="87"/>
      <c r="CI270" s="87"/>
      <c r="CJ270" s="87"/>
      <c r="CK270" s="87"/>
      <c r="CL270" s="87"/>
      <c r="CM270" s="87"/>
      <c r="CN270" s="87"/>
      <c r="CO270" s="87"/>
      <c r="CP270" s="87"/>
      <c r="CQ270" s="87"/>
      <c r="CR270" s="87"/>
      <c r="CS270" s="87"/>
      <c r="CT270" s="87"/>
      <c r="CU270" s="87"/>
      <c r="CV270" s="87"/>
      <c r="CW270" s="87"/>
      <c r="CX270" s="87"/>
      <c r="CY270" s="87"/>
      <c r="CZ270" s="87"/>
      <c r="DA270" s="87"/>
      <c r="DB270" s="119"/>
    </row>
    <row r="271" spans="1:106" s="1" customFormat="1" ht="13.5" customHeight="1">
      <c r="A271" s="249" t="str">
        <f ca="1">график!A38</f>
        <v>10</v>
      </c>
      <c r="B271" s="250"/>
      <c r="C271" s="236" t="str">
        <f ca="1">график!B38</f>
        <v>УСЛУГИ ПО ЗАВЕРШЕНИЮ СТРОИТЕЛЬСТВА И ПРИЕМКЕ ОБЪЕКТА В ЭКСПЛУАТАЦИЮ</v>
      </c>
      <c r="D271" s="237"/>
      <c r="E271" s="237"/>
      <c r="F271" s="237"/>
      <c r="G271" s="237"/>
      <c r="H271" s="237"/>
      <c r="I271" s="237"/>
      <c r="J271" s="237"/>
      <c r="K271" s="237"/>
      <c r="L271" s="237"/>
      <c r="M271" s="237"/>
      <c r="N271" s="237"/>
      <c r="O271" s="237"/>
      <c r="P271" s="237"/>
      <c r="Q271" s="237"/>
      <c r="R271" s="237"/>
      <c r="S271" s="237"/>
      <c r="T271" s="237"/>
      <c r="U271" s="237"/>
      <c r="V271" s="237"/>
      <c r="W271" s="237"/>
      <c r="X271" s="237"/>
      <c r="Y271" s="237"/>
      <c r="Z271" s="237"/>
      <c r="AA271" s="237"/>
      <c r="AB271" s="237"/>
      <c r="AC271" s="237"/>
      <c r="AD271" s="237"/>
      <c r="AE271" s="237"/>
      <c r="AF271" s="237"/>
      <c r="AG271" s="237"/>
      <c r="AH271" s="237"/>
      <c r="AI271" s="237"/>
      <c r="AJ271" s="237"/>
      <c r="AK271" s="237"/>
      <c r="AL271" s="237"/>
      <c r="AM271" s="237"/>
      <c r="AN271" s="237"/>
      <c r="AO271" s="237"/>
      <c r="AP271" s="237"/>
      <c r="AQ271" s="237"/>
      <c r="AR271" s="237"/>
      <c r="AS271" s="237"/>
      <c r="AT271" s="237"/>
      <c r="AU271" s="237"/>
      <c r="AV271" s="237"/>
      <c r="AW271" s="237"/>
      <c r="AX271" s="237"/>
      <c r="AY271" s="237"/>
      <c r="AZ271" s="237"/>
      <c r="BA271" s="237"/>
      <c r="BB271" s="237"/>
      <c r="BC271" s="237"/>
      <c r="BD271" s="237"/>
      <c r="BE271" s="237"/>
      <c r="BF271" s="237"/>
      <c r="BG271" s="237"/>
      <c r="BH271" s="238"/>
      <c r="BI271" s="87"/>
    </row>
    <row r="272" spans="1:106" s="90" customFormat="1" ht="12" customHeight="1">
      <c r="A272" s="239" t="str">
        <f ca="1">график!A39</f>
        <v>10.1</v>
      </c>
      <c r="B272" s="240"/>
      <c r="C272" s="205" t="str">
        <f ca="1">график!B39</f>
        <v>организация приемки объекта в эксплуатацию</v>
      </c>
      <c r="D272" s="205"/>
      <c r="E272" s="205"/>
      <c r="F272" s="205"/>
      <c r="G272" s="205"/>
      <c r="H272" s="205"/>
      <c r="I272" s="205"/>
      <c r="J272" s="205"/>
      <c r="K272" s="205"/>
      <c r="L272" s="205"/>
      <c r="M272" s="205"/>
      <c r="N272" s="205"/>
      <c r="O272" s="205"/>
      <c r="P272" s="205"/>
      <c r="Q272" s="205"/>
      <c r="R272" s="205"/>
      <c r="S272" s="205"/>
      <c r="T272" s="205"/>
      <c r="U272" s="205"/>
      <c r="V272" s="205"/>
      <c r="W272" s="205"/>
      <c r="X272" s="205"/>
      <c r="Y272" s="205"/>
      <c r="Z272" s="205"/>
      <c r="AA272" s="205"/>
      <c r="AB272" s="205"/>
      <c r="AC272" s="205"/>
      <c r="AD272" s="205"/>
      <c r="AE272" s="205"/>
      <c r="AF272" s="205"/>
      <c r="AG272" s="205"/>
      <c r="AH272" s="205"/>
      <c r="AI272" s="205"/>
      <c r="AJ272" s="205"/>
      <c r="AK272" s="205"/>
      <c r="AL272" s="205"/>
      <c r="AM272" s="205"/>
      <c r="AN272" s="205"/>
      <c r="AO272" s="205"/>
      <c r="AP272" s="205"/>
      <c r="AQ272" s="205"/>
      <c r="AR272" s="205"/>
      <c r="AS272" s="205"/>
      <c r="AT272" s="205"/>
      <c r="AU272" s="205"/>
      <c r="AV272" s="205"/>
      <c r="AW272" s="205"/>
      <c r="AX272" s="205"/>
      <c r="AY272" s="205"/>
      <c r="AZ272" s="205"/>
      <c r="BA272" s="251" t="s">
        <v>245</v>
      </c>
      <c r="BB272" s="251"/>
      <c r="BC272" s="251"/>
      <c r="BD272" s="251"/>
      <c r="BE272" s="251"/>
      <c r="BF272" s="251"/>
      <c r="BG272" s="251"/>
      <c r="BH272" s="252"/>
      <c r="BI272" s="117"/>
      <c r="BJ272" s="117"/>
      <c r="BK272" s="117"/>
      <c r="BL272" s="117"/>
      <c r="BM272" s="117"/>
      <c r="BN272" s="117"/>
      <c r="BO272" s="117"/>
      <c r="BP272" s="117"/>
      <c r="BQ272" s="117"/>
      <c r="BR272" s="117"/>
      <c r="BS272" s="117"/>
      <c r="BT272" s="117"/>
      <c r="BU272" s="117"/>
      <c r="BV272" s="117"/>
      <c r="BW272" s="117"/>
      <c r="BX272" s="117"/>
      <c r="BY272" s="117"/>
      <c r="BZ272" s="117"/>
      <c r="CA272" s="117"/>
      <c r="CB272" s="117"/>
      <c r="CC272" s="117"/>
      <c r="CD272" s="117"/>
      <c r="CE272" s="117"/>
      <c r="CF272" s="117"/>
      <c r="CG272" s="117"/>
      <c r="CH272" s="117"/>
      <c r="CI272" s="117"/>
      <c r="CJ272" s="117"/>
      <c r="CK272" s="117"/>
      <c r="CL272" s="117"/>
      <c r="CM272" s="117"/>
      <c r="CN272" s="117"/>
      <c r="CO272" s="117"/>
      <c r="CP272" s="117"/>
      <c r="CQ272" s="117"/>
      <c r="CR272" s="117"/>
      <c r="CS272" s="117"/>
      <c r="CT272" s="117"/>
      <c r="CU272" s="117"/>
      <c r="CV272" s="117"/>
      <c r="CW272" s="117"/>
      <c r="CX272" s="117"/>
      <c r="CY272" s="117"/>
      <c r="CZ272" s="117"/>
      <c r="DA272" s="117"/>
      <c r="DB272" s="118"/>
    </row>
    <row r="273" spans="1:106" s="88" customFormat="1" ht="12" customHeight="1">
      <c r="A273" s="241" t="s">
        <v>181</v>
      </c>
      <c r="B273" s="242"/>
      <c r="C273" s="242"/>
      <c r="D273" s="242"/>
      <c r="E273" s="242"/>
      <c r="F273" s="242"/>
      <c r="G273" s="242"/>
      <c r="H273" s="242"/>
      <c r="I273" s="242"/>
      <c r="J273" s="242"/>
      <c r="K273" s="242"/>
      <c r="L273" s="242"/>
      <c r="M273" s="242"/>
      <c r="N273" s="242"/>
      <c r="O273" s="242"/>
      <c r="P273" s="242"/>
      <c r="Q273" s="242"/>
      <c r="R273" s="242"/>
      <c r="S273" s="242"/>
      <c r="T273" s="242"/>
      <c r="U273" s="242"/>
      <c r="V273" s="242"/>
      <c r="W273" s="243"/>
      <c r="X273" s="244" t="s">
        <v>45</v>
      </c>
      <c r="Y273" s="245"/>
      <c r="Z273" s="245"/>
      <c r="AA273" s="245"/>
      <c r="AB273" s="253">
        <f ca="1">график!C39</f>
        <v>45658</v>
      </c>
      <c r="AC273" s="246"/>
      <c r="AD273" s="246"/>
      <c r="AE273" s="246"/>
      <c r="AF273" s="246"/>
      <c r="AG273" s="93" t="s">
        <v>1</v>
      </c>
      <c r="AH273" s="254">
        <f ca="1">график!E39</f>
        <v>45658</v>
      </c>
      <c r="AI273" s="247"/>
      <c r="AJ273" s="247"/>
      <c r="AK273" s="247"/>
      <c r="AL273" s="247"/>
      <c r="AM273" s="255" t="s">
        <v>158</v>
      </c>
      <c r="AN273" s="255"/>
      <c r="AO273" s="91" t="s">
        <v>28</v>
      </c>
      <c r="AP273" s="256">
        <f ca="1">график!F39</f>
        <v>1.1521999999999999</v>
      </c>
      <c r="AQ273" s="256"/>
      <c r="AR273" s="256"/>
      <c r="AS273" s="256"/>
      <c r="AT273" s="255" t="s">
        <v>159</v>
      </c>
      <c r="AU273" s="255"/>
      <c r="AV273" s="91" t="s">
        <v>28</v>
      </c>
      <c r="AW273" s="228">
        <f ca="1">график!G39</f>
        <v>1.0066999999999999</v>
      </c>
      <c r="AX273" s="228"/>
      <c r="AY273" s="228"/>
      <c r="AZ273" s="229"/>
      <c r="BA273" s="230"/>
      <c r="BB273" s="231"/>
      <c r="BC273" s="231"/>
      <c r="BD273" s="231"/>
      <c r="BE273" s="231"/>
      <c r="BF273" s="231"/>
      <c r="BG273" s="231"/>
      <c r="BH273" s="232"/>
      <c r="BI273" s="87"/>
      <c r="BJ273" s="87"/>
      <c r="BK273" s="87"/>
      <c r="BL273" s="87"/>
      <c r="BM273" s="87"/>
      <c r="BN273" s="87"/>
      <c r="BO273" s="87"/>
      <c r="BP273" s="87"/>
      <c r="BQ273" s="87"/>
      <c r="BR273" s="87"/>
      <c r="BS273" s="87"/>
      <c r="BT273" s="87"/>
      <c r="BU273" s="87"/>
      <c r="BV273" s="87"/>
      <c r="BW273" s="87"/>
      <c r="BX273" s="87"/>
      <c r="BY273" s="87"/>
      <c r="BZ273" s="87"/>
      <c r="CA273" s="87"/>
      <c r="CB273" s="87"/>
      <c r="CC273" s="87"/>
      <c r="CD273" s="87"/>
      <c r="CE273" s="87"/>
      <c r="CF273" s="87"/>
      <c r="CG273" s="87"/>
      <c r="CH273" s="87"/>
      <c r="CI273" s="87"/>
      <c r="CJ273" s="87"/>
      <c r="CK273" s="87"/>
      <c r="CL273" s="87"/>
      <c r="CM273" s="87"/>
      <c r="CN273" s="87"/>
      <c r="CO273" s="87"/>
      <c r="CP273" s="87"/>
      <c r="CQ273" s="87"/>
      <c r="CR273" s="87"/>
      <c r="CS273" s="87"/>
      <c r="CT273" s="87"/>
      <c r="CU273" s="87"/>
      <c r="CV273" s="87"/>
      <c r="CW273" s="87"/>
      <c r="CX273" s="87"/>
      <c r="CY273" s="87"/>
      <c r="CZ273" s="87"/>
      <c r="DA273" s="87"/>
      <c r="DB273" s="119"/>
    </row>
    <row r="274" spans="1:106" s="88" customFormat="1" ht="12" customHeight="1">
      <c r="A274" s="273" t="s">
        <v>179</v>
      </c>
      <c r="B274" s="274"/>
      <c r="C274" s="274"/>
      <c r="D274" s="274"/>
      <c r="E274" s="274"/>
      <c r="F274" s="274"/>
      <c r="G274" s="274"/>
      <c r="H274" s="274"/>
      <c r="I274" s="274"/>
      <c r="J274" s="274"/>
      <c r="K274" s="274"/>
      <c r="L274" s="274"/>
      <c r="M274" s="274"/>
      <c r="N274" s="274"/>
      <c r="O274" s="274"/>
      <c r="P274" s="274"/>
      <c r="Q274" s="274"/>
      <c r="R274" s="274"/>
      <c r="S274" s="274"/>
      <c r="T274" s="274"/>
      <c r="U274" s="274"/>
      <c r="V274" s="274"/>
      <c r="W274" s="275"/>
      <c r="X274" s="208" t="s">
        <v>39</v>
      </c>
      <c r="Y274" s="209"/>
      <c r="Z274" s="209"/>
      <c r="AA274" s="44" t="s">
        <v>28</v>
      </c>
      <c r="AB274" s="226">
        <v>3000</v>
      </c>
      <c r="AC274" s="226"/>
      <c r="AD274" s="226"/>
      <c r="AE274" s="226"/>
      <c r="AF274" s="248" t="s">
        <v>40</v>
      </c>
      <c r="AG274" s="209"/>
      <c r="AH274" s="209"/>
      <c r="AI274" s="209"/>
      <c r="AJ274" s="209"/>
      <c r="AK274" s="44" t="s">
        <v>28</v>
      </c>
      <c r="AL274" s="297">
        <v>10.47</v>
      </c>
      <c r="AM274" s="298"/>
      <c r="AN274" s="298"/>
      <c r="AO274" s="298"/>
      <c r="AP274" s="298"/>
      <c r="AQ274" s="258"/>
      <c r="AR274" s="258"/>
      <c r="AS274" s="272"/>
      <c r="AT274" s="272"/>
      <c r="AU274" s="272"/>
      <c r="AV274" s="98"/>
      <c r="AW274" s="263" t="s">
        <v>164</v>
      </c>
      <c r="AX274" s="226"/>
      <c r="AY274" s="226"/>
      <c r="AZ274" s="227"/>
      <c r="BA274" s="210"/>
      <c r="BB274" s="211"/>
      <c r="BC274" s="211"/>
      <c r="BD274" s="211"/>
      <c r="BE274" s="211"/>
      <c r="BF274" s="212"/>
      <c r="BG274" s="212"/>
      <c r="BH274" s="213"/>
      <c r="BI274" s="87"/>
      <c r="BJ274" s="87"/>
      <c r="BK274" s="87"/>
      <c r="BL274" s="87"/>
      <c r="BM274" s="87"/>
      <c r="BN274" s="87"/>
      <c r="BO274" s="87"/>
      <c r="BP274" s="87"/>
      <c r="BQ274" s="87"/>
      <c r="BR274" s="87"/>
      <c r="BS274" s="87"/>
      <c r="BT274" s="87"/>
      <c r="BU274" s="87"/>
      <c r="BV274" s="87"/>
      <c r="BW274" s="87"/>
      <c r="BX274" s="87"/>
      <c r="BY274" s="87"/>
      <c r="BZ274" s="87"/>
      <c r="CA274" s="87"/>
      <c r="CB274" s="87"/>
      <c r="CC274" s="87"/>
      <c r="CD274" s="87"/>
      <c r="CE274" s="87"/>
      <c r="CF274" s="87"/>
      <c r="CG274" s="87"/>
      <c r="CH274" s="87"/>
      <c r="CI274" s="87"/>
      <c r="CJ274" s="87"/>
      <c r="CK274" s="87"/>
      <c r="CL274" s="87"/>
      <c r="CM274" s="87"/>
      <c r="CN274" s="87"/>
      <c r="CO274" s="87"/>
      <c r="CP274" s="87"/>
      <c r="CQ274" s="87"/>
      <c r="CR274" s="87"/>
      <c r="CS274" s="87"/>
      <c r="CT274" s="87"/>
      <c r="CU274" s="87"/>
      <c r="CV274" s="87"/>
      <c r="CW274" s="87"/>
      <c r="CX274" s="87"/>
      <c r="CY274" s="87"/>
      <c r="CZ274" s="87"/>
      <c r="DA274" s="87"/>
      <c r="DB274" s="119"/>
    </row>
    <row r="275" spans="1:106" s="88" customFormat="1" ht="12" customHeight="1">
      <c r="A275" s="273"/>
      <c r="B275" s="274"/>
      <c r="C275" s="274"/>
      <c r="D275" s="274"/>
      <c r="E275" s="274"/>
      <c r="F275" s="274"/>
      <c r="G275" s="274"/>
      <c r="H275" s="274"/>
      <c r="I275" s="274"/>
      <c r="J275" s="274"/>
      <c r="K275" s="274"/>
      <c r="L275" s="274"/>
      <c r="M275" s="274"/>
      <c r="N275" s="274"/>
      <c r="O275" s="274"/>
      <c r="P275" s="274"/>
      <c r="Q275" s="274"/>
      <c r="R275" s="274"/>
      <c r="S275" s="274"/>
      <c r="T275" s="274"/>
      <c r="U275" s="274"/>
      <c r="V275" s="274"/>
      <c r="W275" s="275"/>
      <c r="X275" s="208" t="s">
        <v>43</v>
      </c>
      <c r="Y275" s="209"/>
      <c r="Z275" s="209"/>
      <c r="AA275" s="44" t="s">
        <v>28</v>
      </c>
      <c r="AB275" s="226">
        <v>4000</v>
      </c>
      <c r="AC275" s="226"/>
      <c r="AD275" s="226"/>
      <c r="AE275" s="226"/>
      <c r="AF275" s="248" t="s">
        <v>44</v>
      </c>
      <c r="AG275" s="209"/>
      <c r="AH275" s="209"/>
      <c r="AI275" s="209"/>
      <c r="AJ275" s="209"/>
      <c r="AK275" s="44" t="s">
        <v>28</v>
      </c>
      <c r="AL275" s="297">
        <v>12.04</v>
      </c>
      <c r="AM275" s="298"/>
      <c r="AN275" s="298"/>
      <c r="AO275" s="298"/>
      <c r="AP275" s="298"/>
      <c r="AQ275" s="108"/>
      <c r="AR275" s="108"/>
      <c r="AS275" s="108"/>
      <c r="AT275" s="108"/>
      <c r="AU275" s="108"/>
      <c r="AV275" s="108"/>
      <c r="AW275" s="108"/>
      <c r="AX275" s="108"/>
      <c r="AY275" s="108"/>
      <c r="AZ275" s="135"/>
      <c r="BA275" s="210"/>
      <c r="BB275" s="211"/>
      <c r="BC275" s="211"/>
      <c r="BD275" s="211"/>
      <c r="BE275" s="211"/>
      <c r="BF275" s="212"/>
      <c r="BG275" s="212"/>
      <c r="BH275" s="213"/>
      <c r="BI275" s="87"/>
      <c r="BJ275" s="87"/>
      <c r="BK275" s="87"/>
      <c r="BL275" s="87"/>
      <c r="BM275" s="87"/>
      <c r="BN275" s="87"/>
      <c r="BO275" s="87"/>
      <c r="BP275" s="87"/>
      <c r="BQ275" s="87"/>
      <c r="BR275" s="87"/>
      <c r="BS275" s="87"/>
      <c r="BT275" s="87"/>
      <c r="BU275" s="87"/>
      <c r="BV275" s="87"/>
      <c r="BW275" s="87"/>
      <c r="BX275" s="87"/>
      <c r="BY275" s="87"/>
      <c r="BZ275" s="87"/>
      <c r="CA275" s="87"/>
      <c r="CB275" s="87"/>
      <c r="CC275" s="87"/>
      <c r="CD275" s="87"/>
      <c r="CE275" s="87"/>
      <c r="CF275" s="87"/>
      <c r="CG275" s="87"/>
      <c r="CH275" s="87"/>
      <c r="CI275" s="87"/>
      <c r="CJ275" s="87"/>
      <c r="CK275" s="87"/>
      <c r="CL275" s="87"/>
      <c r="CM275" s="87"/>
      <c r="CN275" s="87"/>
      <c r="CO275" s="87"/>
      <c r="CP275" s="87"/>
      <c r="CQ275" s="87"/>
      <c r="CR275" s="87"/>
      <c r="CS275" s="87"/>
      <c r="CT275" s="87"/>
      <c r="CU275" s="87"/>
      <c r="CV275" s="87"/>
      <c r="CW275" s="87"/>
      <c r="CX275" s="87"/>
      <c r="CY275" s="87"/>
      <c r="CZ275" s="87"/>
      <c r="DA275" s="87"/>
      <c r="DB275" s="119"/>
    </row>
    <row r="276" spans="1:106" s="88" customFormat="1" ht="12" customHeight="1">
      <c r="A276" s="273"/>
      <c r="B276" s="274"/>
      <c r="C276" s="274"/>
      <c r="D276" s="274"/>
      <c r="E276" s="274"/>
      <c r="F276" s="274"/>
      <c r="G276" s="274"/>
      <c r="H276" s="274"/>
      <c r="I276" s="274"/>
      <c r="J276" s="274"/>
      <c r="K276" s="274"/>
      <c r="L276" s="274"/>
      <c r="M276" s="274"/>
      <c r="N276" s="274"/>
      <c r="O276" s="274"/>
      <c r="P276" s="274"/>
      <c r="Q276" s="274"/>
      <c r="R276" s="274"/>
      <c r="S276" s="274"/>
      <c r="T276" s="274"/>
      <c r="U276" s="274"/>
      <c r="V276" s="274"/>
      <c r="W276" s="275"/>
      <c r="X276" s="224" t="s">
        <v>22</v>
      </c>
      <c r="Y276" s="225"/>
      <c r="Z276" s="225"/>
      <c r="AA276" s="94" t="s">
        <v>28</v>
      </c>
      <c r="AB276" s="226" t="str">
        <f>CONCATENATE(AL274," + [(",AL275," - ", AL274,") / (",AB275," - ", AB274,")] x (",D280," - ",AB274,")  = ")</f>
        <v xml:space="preserve">10,47 + [(12,04 - 10,47) / (4000 - 3000)] x (3310 - 3000)  = </v>
      </c>
      <c r="AC276" s="226"/>
      <c r="AD276" s="226"/>
      <c r="AE276" s="226"/>
      <c r="AF276" s="226"/>
      <c r="AG276" s="226"/>
      <c r="AH276" s="226"/>
      <c r="AI276" s="226"/>
      <c r="AJ276" s="226"/>
      <c r="AK276" s="226"/>
      <c r="AL276" s="226"/>
      <c r="AM276" s="226"/>
      <c r="AN276" s="226"/>
      <c r="AO276" s="226"/>
      <c r="AP276" s="226"/>
      <c r="AQ276" s="226"/>
      <c r="AR276" s="226"/>
      <c r="AS276" s="226"/>
      <c r="AT276" s="226"/>
      <c r="AU276" s="226"/>
      <c r="AV276" s="226"/>
      <c r="AW276" s="226"/>
      <c r="AX276" s="226"/>
      <c r="AY276" s="226"/>
      <c r="AZ276" s="227"/>
      <c r="BA276" s="210">
        <f>ROUND(AL274 + ((AL275-AL274) / (AB275-AB274)) * (D280-AB274),2)</f>
        <v>10.96</v>
      </c>
      <c r="BB276" s="211"/>
      <c r="BC276" s="211"/>
      <c r="BD276" s="211"/>
      <c r="BE276" s="211"/>
      <c r="BF276" s="212" t="s">
        <v>163</v>
      </c>
      <c r="BG276" s="212"/>
      <c r="BH276" s="213"/>
      <c r="BI276" s="87"/>
      <c r="BJ276" s="144" t="s">
        <v>171</v>
      </c>
      <c r="BK276" s="87"/>
      <c r="BL276" s="87"/>
      <c r="BM276" s="87"/>
      <c r="BN276" s="87"/>
      <c r="BO276" s="87"/>
      <c r="BP276" s="87"/>
      <c r="BQ276" s="87"/>
      <c r="BR276" s="87"/>
      <c r="BS276" s="87"/>
      <c r="BT276" s="87"/>
      <c r="BU276" s="87"/>
      <c r="BV276" s="87"/>
      <c r="BW276" s="87"/>
      <c r="BX276" s="87"/>
      <c r="BY276" s="87"/>
      <c r="BZ276" s="87"/>
      <c r="CA276" s="87"/>
      <c r="CB276" s="87"/>
      <c r="CC276" s="87"/>
      <c r="CD276" s="87"/>
      <c r="CE276" s="87"/>
      <c r="CF276" s="87"/>
      <c r="CG276" s="87"/>
      <c r="CH276" s="87"/>
      <c r="CI276" s="87"/>
      <c r="CJ276" s="87"/>
      <c r="CK276" s="87"/>
      <c r="CL276" s="87"/>
      <c r="CM276" s="87"/>
      <c r="CN276" s="87"/>
      <c r="CO276" s="87"/>
      <c r="CP276" s="87"/>
      <c r="CQ276" s="87"/>
      <c r="CR276" s="87"/>
      <c r="CS276" s="87"/>
      <c r="CT276" s="87"/>
      <c r="CU276" s="87"/>
      <c r="CV276" s="87"/>
      <c r="CW276" s="87"/>
      <c r="CX276" s="87"/>
      <c r="CY276" s="87"/>
      <c r="CZ276" s="87"/>
      <c r="DA276" s="87"/>
      <c r="DB276" s="119"/>
    </row>
    <row r="277" spans="1:106" s="88" customFormat="1" ht="12" customHeight="1">
      <c r="A277" s="286" t="s">
        <v>30</v>
      </c>
      <c r="B277" s="287"/>
      <c r="C277" s="287"/>
      <c r="D277" s="287"/>
      <c r="E277" s="287"/>
      <c r="F277" s="287"/>
      <c r="G277" s="287"/>
      <c r="H277" s="287"/>
      <c r="I277" s="287"/>
      <c r="J277" s="287"/>
      <c r="K277" s="287"/>
      <c r="L277" s="287"/>
      <c r="M277" s="287"/>
      <c r="N277" s="287"/>
      <c r="O277" s="287"/>
      <c r="P277" s="287"/>
      <c r="Q277" s="287"/>
      <c r="R277" s="287"/>
      <c r="S277" s="287"/>
      <c r="T277" s="287"/>
      <c r="U277" s="287"/>
      <c r="V277" s="287"/>
      <c r="W277" s="288"/>
      <c r="X277" s="208" t="s">
        <v>182</v>
      </c>
      <c r="Y277" s="209"/>
      <c r="Z277" s="209"/>
      <c r="AA277" s="44" t="s">
        <v>28</v>
      </c>
      <c r="AB277" s="450">
        <v>1.05</v>
      </c>
      <c r="AC277" s="450"/>
      <c r="AD277" s="450"/>
      <c r="AE277" s="258" t="s">
        <v>184</v>
      </c>
      <c r="AF277" s="258"/>
      <c r="AG277" s="98" t="s">
        <v>28</v>
      </c>
      <c r="AH277" s="407">
        <f>D280</f>
        <v>3310</v>
      </c>
      <c r="AI277" s="407"/>
      <c r="AJ277" s="407"/>
      <c r="AK277" s="248" t="s">
        <v>189</v>
      </c>
      <c r="AL277" s="248"/>
      <c r="AM277" s="44" t="s">
        <v>28</v>
      </c>
      <c r="AN277" s="226" t="str">
        <f>CONCATENATE("1 + (",AB277," - 1) x ",AH277," / ",D280)</f>
        <v>1 + (1,05 - 1) x 3310 / 3310</v>
      </c>
      <c r="AO277" s="226"/>
      <c r="AP277" s="226"/>
      <c r="AQ277" s="226"/>
      <c r="AR277" s="226"/>
      <c r="AS277" s="226"/>
      <c r="AT277" s="226"/>
      <c r="AU277" s="226"/>
      <c r="AV277" s="226"/>
      <c r="AW277" s="226"/>
      <c r="AX277" s="226"/>
      <c r="AY277" s="226"/>
      <c r="AZ277" s="110" t="s">
        <v>28</v>
      </c>
      <c r="BA277" s="284">
        <f>ROUND(1 + (AB277 - 1) *(AH277 / D280),2)</f>
        <v>1.05</v>
      </c>
      <c r="BB277" s="285"/>
      <c r="BC277" s="285"/>
      <c r="BD277" s="285"/>
      <c r="BE277" s="285"/>
      <c r="BF277" s="100"/>
      <c r="BG277" s="100"/>
      <c r="BH277" s="101"/>
      <c r="BI277" s="87"/>
      <c r="BJ277" s="87"/>
      <c r="BK277" s="87"/>
      <c r="BL277" s="87"/>
      <c r="BP277" s="87"/>
      <c r="BQ277" s="87"/>
      <c r="BR277" s="87"/>
      <c r="BS277" s="87"/>
      <c r="BT277" s="87"/>
      <c r="BU277" s="87"/>
      <c r="BV277" s="87"/>
      <c r="BW277" s="87"/>
      <c r="BX277" s="87"/>
      <c r="BY277" s="87"/>
      <c r="BZ277" s="87"/>
      <c r="CA277" s="87"/>
      <c r="CB277" s="87"/>
      <c r="CC277" s="87"/>
      <c r="CD277" s="87"/>
      <c r="CE277" s="87"/>
      <c r="CF277" s="87"/>
      <c r="CG277" s="87"/>
      <c r="CH277" s="87"/>
      <c r="CI277" s="87"/>
      <c r="CJ277" s="87"/>
      <c r="CK277" s="87"/>
      <c r="CL277" s="87"/>
      <c r="CM277" s="87"/>
      <c r="CN277" s="87"/>
      <c r="CO277" s="87"/>
      <c r="CP277" s="87"/>
      <c r="CQ277" s="87"/>
      <c r="CR277" s="87"/>
      <c r="CS277" s="87"/>
      <c r="CT277" s="87"/>
      <c r="CU277" s="87"/>
      <c r="CV277" s="87"/>
      <c r="CW277" s="87"/>
      <c r="CX277" s="87"/>
      <c r="CY277" s="87"/>
      <c r="CZ277" s="87"/>
      <c r="DA277" s="87"/>
      <c r="DB277" s="119"/>
    </row>
    <row r="278" spans="1:106" s="88" customFormat="1" ht="12" customHeight="1">
      <c r="A278" s="286" t="s">
        <v>185</v>
      </c>
      <c r="B278" s="287"/>
      <c r="C278" s="287"/>
      <c r="D278" s="287"/>
      <c r="E278" s="287"/>
      <c r="F278" s="287"/>
      <c r="G278" s="287"/>
      <c r="H278" s="287"/>
      <c r="I278" s="287"/>
      <c r="J278" s="287"/>
      <c r="K278" s="287"/>
      <c r="L278" s="287"/>
      <c r="M278" s="287"/>
      <c r="N278" s="287"/>
      <c r="O278" s="287"/>
      <c r="P278" s="287"/>
      <c r="Q278" s="287"/>
      <c r="R278" s="287"/>
      <c r="S278" s="287"/>
      <c r="T278" s="287"/>
      <c r="U278" s="287"/>
      <c r="V278" s="287"/>
      <c r="W278" s="288"/>
      <c r="X278" s="208" t="s">
        <v>183</v>
      </c>
      <c r="Y278" s="209"/>
      <c r="Z278" s="209"/>
      <c r="AA278" s="44" t="s">
        <v>28</v>
      </c>
      <c r="AB278" s="450">
        <v>2.19</v>
      </c>
      <c r="AC278" s="450"/>
      <c r="AD278" s="450"/>
      <c r="AE278" s="258" t="s">
        <v>184</v>
      </c>
      <c r="AF278" s="258"/>
      <c r="AG278" s="98" t="s">
        <v>28</v>
      </c>
      <c r="AH278" s="407">
        <v>180</v>
      </c>
      <c r="AI278" s="407"/>
      <c r="AJ278" s="407"/>
      <c r="AK278" s="248" t="s">
        <v>189</v>
      </c>
      <c r="AL278" s="248"/>
      <c r="AM278" s="44" t="s">
        <v>28</v>
      </c>
      <c r="AN278" s="226" t="str">
        <f>CONCATENATE("1 + (1 - ",AB278,") x ",AH278," / ",D280)</f>
        <v>1 + (1 - 2,19) x 180 / 3310</v>
      </c>
      <c r="AO278" s="226"/>
      <c r="AP278" s="226"/>
      <c r="AQ278" s="226"/>
      <c r="AR278" s="226"/>
      <c r="AS278" s="226"/>
      <c r="AT278" s="226"/>
      <c r="AU278" s="226"/>
      <c r="AV278" s="226"/>
      <c r="AW278" s="226"/>
      <c r="AX278" s="226"/>
      <c r="AY278" s="226"/>
      <c r="AZ278" s="110" t="s">
        <v>28</v>
      </c>
      <c r="BA278" s="284">
        <f>ROUND(1 + (AB278 - 1) *(AH278 / D280),2)</f>
        <v>1.06</v>
      </c>
      <c r="BB278" s="285"/>
      <c r="BC278" s="285"/>
      <c r="BD278" s="285"/>
      <c r="BE278" s="285"/>
      <c r="BF278" s="100"/>
      <c r="BG278" s="100"/>
      <c r="BH278" s="101"/>
      <c r="BI278" s="87"/>
      <c r="BJ278" s="151">
        <f>(1+(BA277-1)+(BA278-1))</f>
        <v>1.1100000000000001</v>
      </c>
      <c r="BK278" s="87"/>
      <c r="BL278" s="87"/>
      <c r="BP278" s="87"/>
      <c r="BQ278" s="87"/>
      <c r="BR278" s="87"/>
      <c r="BS278" s="87"/>
      <c r="BT278" s="87"/>
      <c r="BU278" s="87"/>
      <c r="BV278" s="87"/>
      <c r="BW278" s="87"/>
      <c r="BX278" s="87"/>
      <c r="BY278" s="87"/>
      <c r="BZ278" s="87"/>
      <c r="CA278" s="87"/>
      <c r="CB278" s="87"/>
      <c r="CC278" s="87"/>
      <c r="CD278" s="87"/>
      <c r="CE278" s="87"/>
      <c r="CF278" s="87"/>
      <c r="CG278" s="87"/>
      <c r="CH278" s="87"/>
      <c r="CI278" s="87"/>
      <c r="CJ278" s="87"/>
      <c r="CK278" s="87"/>
      <c r="CL278" s="87"/>
      <c r="CM278" s="87"/>
      <c r="CN278" s="87"/>
      <c r="CO278" s="87"/>
      <c r="CP278" s="87"/>
      <c r="CQ278" s="87"/>
      <c r="CR278" s="87"/>
      <c r="CS278" s="87"/>
      <c r="CT278" s="87"/>
      <c r="CU278" s="87"/>
      <c r="CV278" s="87"/>
      <c r="CW278" s="87"/>
      <c r="CX278" s="87"/>
      <c r="CY278" s="87"/>
      <c r="CZ278" s="87"/>
      <c r="DA278" s="87"/>
      <c r="DB278" s="119"/>
    </row>
    <row r="279" spans="1:106" s="88" customFormat="1" ht="12" customHeight="1">
      <c r="A279" s="129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1"/>
      <c r="X279" s="420" t="s">
        <v>190</v>
      </c>
      <c r="Y279" s="421"/>
      <c r="Z279" s="421"/>
      <c r="AA279" s="94" t="s">
        <v>28</v>
      </c>
      <c r="AB279" s="226" t="str">
        <f>CONCATENATE(BA276," x [1 + (",BA277," - 1) + (",BA278," - 1)] = ",BA276," x ",BJ278," = ")</f>
        <v xml:space="preserve">10,96 x [1 + (1,05 - 1) + (1,06 - 1)] = 10,96 x 1,11 = </v>
      </c>
      <c r="AC279" s="226"/>
      <c r="AD279" s="226"/>
      <c r="AE279" s="226"/>
      <c r="AF279" s="226"/>
      <c r="AG279" s="226"/>
      <c r="AH279" s="226"/>
      <c r="AI279" s="226"/>
      <c r="AJ279" s="226"/>
      <c r="AK279" s="226"/>
      <c r="AL279" s="226"/>
      <c r="AM279" s="226"/>
      <c r="AN279" s="226"/>
      <c r="AO279" s="226"/>
      <c r="AP279" s="226"/>
      <c r="AQ279" s="226"/>
      <c r="AR279" s="226"/>
      <c r="AS279" s="226"/>
      <c r="AT279" s="226"/>
      <c r="AU279" s="226"/>
      <c r="AV279" s="226"/>
      <c r="AW279" s="226"/>
      <c r="AX279" s="226"/>
      <c r="AY279" s="226"/>
      <c r="AZ279" s="227"/>
      <c r="BA279" s="210">
        <f>ROUND(BA276*BJ278,2)</f>
        <v>12.17</v>
      </c>
      <c r="BB279" s="211"/>
      <c r="BC279" s="211"/>
      <c r="BD279" s="211"/>
      <c r="BE279" s="211"/>
      <c r="BF279" s="212" t="s">
        <v>163</v>
      </c>
      <c r="BG279" s="212"/>
      <c r="BH279" s="213"/>
      <c r="BI279" s="87"/>
      <c r="BJ279" s="144"/>
      <c r="BK279" s="87"/>
      <c r="BL279" s="87"/>
      <c r="BM279" s="87"/>
      <c r="BN279" s="87"/>
      <c r="BO279" s="87"/>
      <c r="BP279" s="87"/>
      <c r="BQ279" s="87"/>
      <c r="BR279" s="87"/>
      <c r="BS279" s="87"/>
      <c r="BT279" s="87"/>
      <c r="BU279" s="87"/>
      <c r="BV279" s="87"/>
      <c r="BW279" s="87"/>
      <c r="BX279" s="87"/>
      <c r="BY279" s="87"/>
      <c r="BZ279" s="87"/>
      <c r="CA279" s="87"/>
      <c r="CB279" s="87"/>
      <c r="CC279" s="87"/>
      <c r="CD279" s="87"/>
      <c r="CE279" s="87"/>
      <c r="CF279" s="87"/>
      <c r="CG279" s="87"/>
      <c r="CH279" s="87"/>
      <c r="CI279" s="87"/>
      <c r="CJ279" s="87"/>
      <c r="CK279" s="87"/>
      <c r="CL279" s="87"/>
      <c r="CM279" s="87"/>
      <c r="CN279" s="87"/>
      <c r="CO279" s="87"/>
      <c r="CP279" s="87"/>
      <c r="CQ279" s="87"/>
      <c r="CR279" s="87"/>
      <c r="CS279" s="87"/>
      <c r="CT279" s="87"/>
      <c r="CU279" s="87"/>
      <c r="CV279" s="87"/>
      <c r="CW279" s="87"/>
      <c r="CX279" s="87"/>
      <c r="CY279" s="87"/>
      <c r="CZ279" s="87"/>
      <c r="DA279" s="87"/>
      <c r="DB279" s="119"/>
    </row>
    <row r="280" spans="1:106" s="88" customFormat="1" ht="12" customHeight="1">
      <c r="A280" s="214" t="s">
        <v>170</v>
      </c>
      <c r="B280" s="215"/>
      <c r="C280" s="113" t="s">
        <v>28</v>
      </c>
      <c r="D280" s="417">
        <f>$D$57</f>
        <v>3310</v>
      </c>
      <c r="E280" s="417"/>
      <c r="F280" s="417"/>
      <c r="G280" s="417"/>
      <c r="H280" s="417"/>
      <c r="I280" s="120"/>
      <c r="J280" s="120"/>
      <c r="K280" s="120"/>
      <c r="L280" s="120"/>
      <c r="M280" s="120"/>
      <c r="N280" s="120"/>
      <c r="O280" s="120"/>
      <c r="P280" s="120"/>
      <c r="Q280" s="120"/>
      <c r="R280" s="215"/>
      <c r="S280" s="215"/>
      <c r="T280" s="113"/>
      <c r="U280" s="217"/>
      <c r="V280" s="218"/>
      <c r="W280" s="219"/>
      <c r="X280" s="422" t="s">
        <v>162</v>
      </c>
      <c r="Y280" s="423"/>
      <c r="Z280" s="423"/>
      <c r="AA280" s="97" t="s">
        <v>28</v>
      </c>
      <c r="AB280" s="222" t="str">
        <f ca="1">CONCATENATE(BA279," x ",$AO$17," x ", AP273," x [1 + 0,5 x (",AW273," - 1)]  = ")</f>
        <v xml:space="preserve">12,17 x 307,7 x 1,1522 x [1 + 0,5 x (1,0067 - 1)]  = </v>
      </c>
      <c r="AC280" s="222"/>
      <c r="AD280" s="222"/>
      <c r="AE280" s="222"/>
      <c r="AF280" s="222"/>
      <c r="AG280" s="222"/>
      <c r="AH280" s="222"/>
      <c r="AI280" s="222"/>
      <c r="AJ280" s="222"/>
      <c r="AK280" s="222"/>
      <c r="AL280" s="222"/>
      <c r="AM280" s="222"/>
      <c r="AN280" s="222"/>
      <c r="AO280" s="222"/>
      <c r="AP280" s="222"/>
      <c r="AQ280" s="222"/>
      <c r="AR280" s="222"/>
      <c r="AS280" s="222"/>
      <c r="AT280" s="222"/>
      <c r="AU280" s="222"/>
      <c r="AV280" s="222"/>
      <c r="AW280" s="222"/>
      <c r="AX280" s="222"/>
      <c r="AY280" s="222"/>
      <c r="AZ280" s="223"/>
      <c r="BA280" s="268">
        <f ca="1">ROUND(BA279*$AO$17*AP273*(1+0.5*(AW273-1)),2)</f>
        <v>4329.1099999999997</v>
      </c>
      <c r="BB280" s="269"/>
      <c r="BC280" s="269"/>
      <c r="BD280" s="269"/>
      <c r="BE280" s="269"/>
      <c r="BF280" s="270" t="s">
        <v>23</v>
      </c>
      <c r="BG280" s="270"/>
      <c r="BH280" s="271"/>
      <c r="BI280" s="87"/>
      <c r="BJ280" s="87"/>
      <c r="BK280" s="87"/>
      <c r="BL280" s="87"/>
      <c r="BM280" s="87"/>
      <c r="BN280" s="87"/>
      <c r="BO280" s="87"/>
      <c r="BP280" s="87"/>
      <c r="BQ280" s="87"/>
      <c r="BR280" s="87"/>
      <c r="BS280" s="87"/>
      <c r="BT280" s="87"/>
      <c r="BU280" s="87"/>
      <c r="BV280" s="87"/>
      <c r="BW280" s="87"/>
      <c r="BX280" s="87"/>
      <c r="BY280" s="87"/>
      <c r="BZ280" s="87"/>
      <c r="CA280" s="87"/>
      <c r="CB280" s="87"/>
      <c r="CC280" s="87"/>
      <c r="CD280" s="87"/>
      <c r="CE280" s="87"/>
      <c r="CF280" s="87"/>
      <c r="CG280" s="87"/>
      <c r="CH280" s="87"/>
      <c r="CI280" s="87"/>
      <c r="CJ280" s="87"/>
      <c r="CK280" s="87"/>
      <c r="CL280" s="87"/>
      <c r="CM280" s="87"/>
      <c r="CN280" s="87"/>
      <c r="CO280" s="87"/>
      <c r="CP280" s="87"/>
      <c r="CQ280" s="87"/>
      <c r="CR280" s="87"/>
      <c r="CS280" s="87"/>
      <c r="CT280" s="87"/>
      <c r="CU280" s="87"/>
      <c r="CV280" s="87"/>
      <c r="CW280" s="87"/>
      <c r="CX280" s="87"/>
      <c r="CY280" s="87"/>
      <c r="CZ280" s="87"/>
      <c r="DA280" s="87"/>
      <c r="DB280" s="119"/>
    </row>
    <row r="281" spans="1:106" s="88" customFormat="1" ht="12" customHeight="1">
      <c r="A281" s="241" t="s">
        <v>227</v>
      </c>
      <c r="B281" s="242"/>
      <c r="C281" s="242"/>
      <c r="D281" s="242"/>
      <c r="E281" s="242"/>
      <c r="F281" s="242"/>
      <c r="G281" s="242"/>
      <c r="H281" s="242"/>
      <c r="I281" s="242"/>
      <c r="J281" s="242"/>
      <c r="K281" s="242"/>
      <c r="L281" s="242"/>
      <c r="M281" s="242"/>
      <c r="N281" s="242"/>
      <c r="O281" s="242"/>
      <c r="P281" s="242"/>
      <c r="Q281" s="242"/>
      <c r="R281" s="242"/>
      <c r="S281" s="242"/>
      <c r="T281" s="242"/>
      <c r="U281" s="242"/>
      <c r="V281" s="242"/>
      <c r="W281" s="243"/>
      <c r="X281" s="299" t="s">
        <v>45</v>
      </c>
      <c r="Y281" s="300"/>
      <c r="Z281" s="300"/>
      <c r="AA281" s="300"/>
      <c r="AB281" s="301">
        <f ca="1">график!C39</f>
        <v>45658</v>
      </c>
      <c r="AC281" s="302"/>
      <c r="AD281" s="302"/>
      <c r="AE281" s="302"/>
      <c r="AF281" s="302"/>
      <c r="AG281" s="169" t="s">
        <v>1</v>
      </c>
      <c r="AH281" s="303">
        <f ca="1">график!E39</f>
        <v>45658</v>
      </c>
      <c r="AI281" s="304"/>
      <c r="AJ281" s="304"/>
      <c r="AK281" s="304"/>
      <c r="AL281" s="304"/>
      <c r="AM281" s="293" t="s">
        <v>158</v>
      </c>
      <c r="AN281" s="293"/>
      <c r="AO281" s="170" t="s">
        <v>28</v>
      </c>
      <c r="AP281" s="294">
        <f ca="1">график!F39</f>
        <v>1.1521999999999999</v>
      </c>
      <c r="AQ281" s="294"/>
      <c r="AR281" s="294"/>
      <c r="AS281" s="294"/>
      <c r="AT281" s="293" t="s">
        <v>159</v>
      </c>
      <c r="AU281" s="293"/>
      <c r="AV281" s="170" t="s">
        <v>28</v>
      </c>
      <c r="AW281" s="295">
        <f ca="1">график!G39</f>
        <v>1.0066999999999999</v>
      </c>
      <c r="AX281" s="295"/>
      <c r="AY281" s="295"/>
      <c r="AZ281" s="296"/>
      <c r="BA281" s="230"/>
      <c r="BB281" s="231"/>
      <c r="BC281" s="231"/>
      <c r="BD281" s="231"/>
      <c r="BE281" s="231"/>
      <c r="BF281" s="231"/>
      <c r="BG281" s="231"/>
      <c r="BH281" s="232"/>
      <c r="BI281" s="87"/>
      <c r="BJ281" s="87"/>
      <c r="BK281" s="87"/>
      <c r="BL281" s="87"/>
      <c r="BM281" s="87"/>
      <c r="BN281" s="87"/>
      <c r="BO281" s="87"/>
      <c r="BP281" s="87"/>
      <c r="BQ281" s="87"/>
      <c r="BR281" s="87"/>
      <c r="BS281" s="87"/>
      <c r="BT281" s="87"/>
      <c r="BU281" s="87"/>
      <c r="BV281" s="87"/>
      <c r="BW281" s="87"/>
      <c r="BX281" s="87"/>
      <c r="BY281" s="87"/>
      <c r="BZ281" s="87"/>
      <c r="CA281" s="87"/>
      <c r="CB281" s="87"/>
      <c r="CC281" s="87"/>
      <c r="CD281" s="87"/>
      <c r="CE281" s="87"/>
      <c r="CF281" s="87"/>
      <c r="CG281" s="87"/>
      <c r="CH281" s="87"/>
      <c r="CI281" s="87"/>
      <c r="CJ281" s="87"/>
      <c r="CK281" s="87"/>
      <c r="CL281" s="87"/>
      <c r="CM281" s="87"/>
      <c r="CN281" s="87"/>
      <c r="CO281" s="87"/>
      <c r="CP281" s="87"/>
      <c r="CQ281" s="87"/>
      <c r="CR281" s="87"/>
      <c r="CS281" s="87"/>
      <c r="CT281" s="87"/>
      <c r="CU281" s="87"/>
      <c r="CV281" s="87"/>
      <c r="CW281" s="87"/>
      <c r="CX281" s="87"/>
      <c r="CY281" s="87"/>
      <c r="CZ281" s="87"/>
      <c r="DA281" s="87"/>
      <c r="DB281" s="119"/>
    </row>
    <row r="282" spans="1:106" s="88" customFormat="1" ht="12" customHeight="1">
      <c r="A282" s="273" t="s">
        <v>226</v>
      </c>
      <c r="B282" s="274"/>
      <c r="C282" s="274"/>
      <c r="D282" s="274"/>
      <c r="E282" s="274"/>
      <c r="F282" s="274"/>
      <c r="G282" s="274"/>
      <c r="H282" s="274"/>
      <c r="I282" s="274"/>
      <c r="J282" s="274"/>
      <c r="K282" s="274"/>
      <c r="L282" s="274"/>
      <c r="M282" s="274"/>
      <c r="N282" s="274"/>
      <c r="O282" s="274"/>
      <c r="P282" s="274"/>
      <c r="Q282" s="274"/>
      <c r="R282" s="274"/>
      <c r="S282" s="274"/>
      <c r="T282" s="274"/>
      <c r="U282" s="274"/>
      <c r="V282" s="274"/>
      <c r="W282" s="275"/>
      <c r="X282" s="208" t="s">
        <v>39</v>
      </c>
      <c r="Y282" s="209"/>
      <c r="Z282" s="209"/>
      <c r="AA282" s="44" t="s">
        <v>28</v>
      </c>
      <c r="AB282" s="226">
        <v>100</v>
      </c>
      <c r="AC282" s="226"/>
      <c r="AD282" s="226"/>
      <c r="AE282" s="226"/>
      <c r="AF282" s="248" t="s">
        <v>40</v>
      </c>
      <c r="AG282" s="209"/>
      <c r="AH282" s="209"/>
      <c r="AI282" s="209"/>
      <c r="AJ282" s="209"/>
      <c r="AK282" s="44" t="s">
        <v>28</v>
      </c>
      <c r="AL282" s="297">
        <v>2.4900000000000002</v>
      </c>
      <c r="AM282" s="298"/>
      <c r="AN282" s="298"/>
      <c r="AO282" s="298"/>
      <c r="AP282" s="298"/>
      <c r="AQ282" s="258"/>
      <c r="AR282" s="258"/>
      <c r="AS282" s="272"/>
      <c r="AT282" s="272"/>
      <c r="AU282" s="272"/>
      <c r="AV282" s="98"/>
      <c r="AW282" s="263"/>
      <c r="AX282" s="226"/>
      <c r="AY282" s="226"/>
      <c r="AZ282" s="227"/>
      <c r="BA282" s="210"/>
      <c r="BB282" s="211"/>
      <c r="BC282" s="211"/>
      <c r="BD282" s="211"/>
      <c r="BE282" s="211"/>
      <c r="BF282" s="212"/>
      <c r="BG282" s="212"/>
      <c r="BH282" s="213"/>
      <c r="BI282" s="87"/>
      <c r="BJ282" s="87"/>
      <c r="BK282" s="87"/>
      <c r="BL282" s="87"/>
      <c r="BM282" s="87"/>
      <c r="BN282" s="87"/>
      <c r="BO282" s="87"/>
      <c r="BP282" s="87"/>
      <c r="BQ282" s="87"/>
      <c r="BR282" s="87"/>
      <c r="BS282" s="87"/>
      <c r="BT282" s="87"/>
      <c r="BU282" s="87"/>
      <c r="BV282" s="87"/>
      <c r="BW282" s="87"/>
      <c r="BX282" s="87"/>
      <c r="BY282" s="87"/>
      <c r="BZ282" s="87"/>
      <c r="CA282" s="87"/>
      <c r="CB282" s="87"/>
      <c r="CC282" s="87"/>
      <c r="CD282" s="87"/>
      <c r="CE282" s="87"/>
      <c r="CF282" s="87"/>
      <c r="CG282" s="87"/>
      <c r="CH282" s="87"/>
      <c r="CI282" s="87"/>
      <c r="CJ282" s="87"/>
      <c r="CK282" s="87"/>
      <c r="CL282" s="87"/>
      <c r="CM282" s="87"/>
      <c r="CN282" s="87"/>
      <c r="CO282" s="87"/>
      <c r="CP282" s="87"/>
      <c r="CQ282" s="87"/>
      <c r="CR282" s="87"/>
      <c r="CS282" s="87"/>
      <c r="CT282" s="87"/>
      <c r="CU282" s="87"/>
      <c r="CV282" s="87"/>
      <c r="CW282" s="87"/>
      <c r="CX282" s="87"/>
      <c r="CY282" s="87"/>
      <c r="CZ282" s="87"/>
      <c r="DA282" s="87"/>
      <c r="DB282" s="119"/>
    </row>
    <row r="283" spans="1:106" s="88" customFormat="1" ht="12" customHeight="1">
      <c r="A283" s="273"/>
      <c r="B283" s="274"/>
      <c r="C283" s="274"/>
      <c r="D283" s="274"/>
      <c r="E283" s="274"/>
      <c r="F283" s="274"/>
      <c r="G283" s="274"/>
      <c r="H283" s="274"/>
      <c r="I283" s="274"/>
      <c r="J283" s="274"/>
      <c r="K283" s="274"/>
      <c r="L283" s="274"/>
      <c r="M283" s="274"/>
      <c r="N283" s="274"/>
      <c r="O283" s="274"/>
      <c r="P283" s="274"/>
      <c r="Q283" s="274"/>
      <c r="R283" s="274"/>
      <c r="S283" s="274"/>
      <c r="T283" s="274"/>
      <c r="U283" s="274"/>
      <c r="V283" s="274"/>
      <c r="W283" s="275"/>
      <c r="X283" s="208" t="s">
        <v>43</v>
      </c>
      <c r="Y283" s="209"/>
      <c r="Z283" s="209"/>
      <c r="AA283" s="44" t="s">
        <v>28</v>
      </c>
      <c r="AB283" s="226">
        <v>300</v>
      </c>
      <c r="AC283" s="226"/>
      <c r="AD283" s="226"/>
      <c r="AE283" s="226"/>
      <c r="AF283" s="248" t="s">
        <v>44</v>
      </c>
      <c r="AG283" s="209"/>
      <c r="AH283" s="209"/>
      <c r="AI283" s="209"/>
      <c r="AJ283" s="209"/>
      <c r="AK283" s="44" t="s">
        <v>28</v>
      </c>
      <c r="AL283" s="297">
        <v>2.76</v>
      </c>
      <c r="AM283" s="298"/>
      <c r="AN283" s="298"/>
      <c r="AO283" s="298"/>
      <c r="AP283" s="298"/>
      <c r="AQ283" s="108"/>
      <c r="AR283" s="108"/>
      <c r="AS283" s="108"/>
      <c r="AT283" s="108"/>
      <c r="AU283" s="108"/>
      <c r="AV283" s="108"/>
      <c r="AW283" s="108"/>
      <c r="AX283" s="108"/>
      <c r="AY283" s="108"/>
      <c r="AZ283" s="135"/>
      <c r="BA283" s="210"/>
      <c r="BB283" s="211"/>
      <c r="BC283" s="211"/>
      <c r="BD283" s="211"/>
      <c r="BE283" s="211"/>
      <c r="BF283" s="212"/>
      <c r="BG283" s="212"/>
      <c r="BH283" s="213"/>
      <c r="BI283" s="87"/>
      <c r="BJ283" s="87"/>
      <c r="BK283" s="87"/>
      <c r="BL283" s="87"/>
      <c r="BM283" s="87"/>
      <c r="BN283" s="87"/>
      <c r="BO283" s="87"/>
      <c r="BP283" s="87"/>
      <c r="BQ283" s="87"/>
      <c r="BR283" s="87"/>
      <c r="BS283" s="87"/>
      <c r="BT283" s="87"/>
      <c r="BU283" s="87"/>
      <c r="BV283" s="87"/>
      <c r="BW283" s="87"/>
      <c r="BX283" s="87"/>
      <c r="BY283" s="87"/>
      <c r="BZ283" s="87"/>
      <c r="CA283" s="87"/>
      <c r="CB283" s="87"/>
      <c r="CC283" s="87"/>
      <c r="CD283" s="87"/>
      <c r="CE283" s="87"/>
      <c r="CF283" s="87"/>
      <c r="CG283" s="87"/>
      <c r="CH283" s="87"/>
      <c r="CI283" s="87"/>
      <c r="CJ283" s="87"/>
      <c r="CK283" s="87"/>
      <c r="CL283" s="87"/>
      <c r="CM283" s="87"/>
      <c r="CN283" s="87"/>
      <c r="CO283" s="87"/>
      <c r="CP283" s="87"/>
      <c r="CQ283" s="87"/>
      <c r="CR283" s="87"/>
      <c r="CS283" s="87"/>
      <c r="CT283" s="87"/>
      <c r="CU283" s="87"/>
      <c r="CV283" s="87"/>
      <c r="CW283" s="87"/>
      <c r="CX283" s="87"/>
      <c r="CY283" s="87"/>
      <c r="CZ283" s="87"/>
      <c r="DA283" s="87"/>
      <c r="DB283" s="119"/>
    </row>
    <row r="284" spans="1:106" s="88" customFormat="1" ht="12" customHeight="1">
      <c r="A284" s="273"/>
      <c r="B284" s="274"/>
      <c r="C284" s="274"/>
      <c r="D284" s="274"/>
      <c r="E284" s="274"/>
      <c r="F284" s="274"/>
      <c r="G284" s="274"/>
      <c r="H284" s="274"/>
      <c r="I284" s="274"/>
      <c r="J284" s="274"/>
      <c r="K284" s="274"/>
      <c r="L284" s="274"/>
      <c r="M284" s="274"/>
      <c r="N284" s="274"/>
      <c r="O284" s="274"/>
      <c r="P284" s="274"/>
      <c r="Q284" s="274"/>
      <c r="R284" s="274"/>
      <c r="S284" s="274"/>
      <c r="T284" s="274"/>
      <c r="U284" s="274"/>
      <c r="V284" s="274"/>
      <c r="W284" s="275"/>
      <c r="X284" s="224" t="s">
        <v>22</v>
      </c>
      <c r="Y284" s="225"/>
      <c r="Z284" s="225"/>
      <c r="AA284" s="94" t="s">
        <v>28</v>
      </c>
      <c r="AB284" s="226" t="str">
        <f>CONCATENATE(AL282," + [(",AL283," - ", AL282,") / (",AB283," - ", AB282,")] x (",D288," - ",AB282,")  = ")</f>
        <v xml:space="preserve">2,49 + [(2,76 - 2,49) / (300 - 100)] x (107 - 100)  = </v>
      </c>
      <c r="AC284" s="226"/>
      <c r="AD284" s="226"/>
      <c r="AE284" s="226"/>
      <c r="AF284" s="226"/>
      <c r="AG284" s="226"/>
      <c r="AH284" s="226"/>
      <c r="AI284" s="226"/>
      <c r="AJ284" s="226"/>
      <c r="AK284" s="226"/>
      <c r="AL284" s="226"/>
      <c r="AM284" s="226"/>
      <c r="AN284" s="226"/>
      <c r="AO284" s="226"/>
      <c r="AP284" s="226"/>
      <c r="AQ284" s="226"/>
      <c r="AR284" s="226"/>
      <c r="AS284" s="226"/>
      <c r="AT284" s="226"/>
      <c r="AU284" s="226"/>
      <c r="AV284" s="226"/>
      <c r="AW284" s="226"/>
      <c r="AX284" s="226"/>
      <c r="AY284" s="226"/>
      <c r="AZ284" s="227"/>
      <c r="BA284" s="210">
        <f>ROUND(AL282 + ((AL283-AL282) / (AB283-AB282)) * (D288-AB282),2)</f>
        <v>2.5</v>
      </c>
      <c r="BB284" s="211"/>
      <c r="BC284" s="211"/>
      <c r="BD284" s="211"/>
      <c r="BE284" s="211"/>
      <c r="BF284" s="212" t="s">
        <v>163</v>
      </c>
      <c r="BG284" s="212"/>
      <c r="BH284" s="213"/>
      <c r="BI284" s="87"/>
      <c r="BJ284" s="144" t="s">
        <v>171</v>
      </c>
      <c r="BK284" s="87"/>
      <c r="BL284" s="87"/>
      <c r="BM284" s="87"/>
      <c r="BN284" s="87"/>
      <c r="BO284" s="87"/>
      <c r="BP284" s="87"/>
      <c r="BQ284" s="87"/>
      <c r="BR284" s="87"/>
      <c r="BS284" s="87"/>
      <c r="BT284" s="87"/>
      <c r="BU284" s="87"/>
      <c r="BV284" s="87"/>
      <c r="BW284" s="87"/>
      <c r="BX284" s="87"/>
      <c r="BY284" s="87"/>
      <c r="BZ284" s="87"/>
      <c r="CA284" s="87"/>
      <c r="CB284" s="87"/>
      <c r="CC284" s="87"/>
      <c r="CD284" s="87"/>
      <c r="CE284" s="87"/>
      <c r="CF284" s="87"/>
      <c r="CG284" s="87"/>
      <c r="CH284" s="87"/>
      <c r="CI284" s="87"/>
      <c r="CJ284" s="87"/>
      <c r="CK284" s="87"/>
      <c r="CL284" s="87"/>
      <c r="CM284" s="87"/>
      <c r="CN284" s="87"/>
      <c r="CO284" s="87"/>
      <c r="CP284" s="87"/>
      <c r="CQ284" s="87"/>
      <c r="CR284" s="87"/>
      <c r="CS284" s="87"/>
      <c r="CT284" s="87"/>
      <c r="CU284" s="87"/>
      <c r="CV284" s="87"/>
      <c r="CW284" s="87"/>
      <c r="CX284" s="87"/>
      <c r="CY284" s="87"/>
      <c r="CZ284" s="87"/>
      <c r="DA284" s="87"/>
      <c r="DB284" s="119"/>
    </row>
    <row r="285" spans="1:106" s="88" customFormat="1" ht="12" customHeight="1">
      <c r="A285" s="286" t="s">
        <v>229</v>
      </c>
      <c r="B285" s="287"/>
      <c r="C285" s="287"/>
      <c r="D285" s="287"/>
      <c r="E285" s="287"/>
      <c r="F285" s="287"/>
      <c r="G285" s="287"/>
      <c r="H285" s="287"/>
      <c r="I285" s="287"/>
      <c r="J285" s="287"/>
      <c r="K285" s="287"/>
      <c r="L285" s="287"/>
      <c r="M285" s="287"/>
      <c r="N285" s="287"/>
      <c r="O285" s="287"/>
      <c r="P285" s="287"/>
      <c r="Q285" s="287"/>
      <c r="R285" s="287"/>
      <c r="S285" s="287"/>
      <c r="T285" s="287"/>
      <c r="U285" s="287"/>
      <c r="V285" s="287"/>
      <c r="W285" s="288"/>
      <c r="X285" s="208" t="s">
        <v>230</v>
      </c>
      <c r="Y285" s="209"/>
      <c r="Z285" s="209"/>
      <c r="AA285" s="44" t="s">
        <v>28</v>
      </c>
      <c r="AB285" s="450">
        <v>1.1000000000000001</v>
      </c>
      <c r="AC285" s="450"/>
      <c r="AD285" s="450"/>
      <c r="AE285" s="258" t="s">
        <v>184</v>
      </c>
      <c r="AF285" s="258"/>
      <c r="AG285" s="98" t="s">
        <v>28</v>
      </c>
      <c r="AH285" s="407">
        <v>60</v>
      </c>
      <c r="AI285" s="407"/>
      <c r="AJ285" s="407"/>
      <c r="AK285" s="248" t="s">
        <v>189</v>
      </c>
      <c r="AL285" s="248"/>
      <c r="AM285" s="44" t="s">
        <v>28</v>
      </c>
      <c r="AN285" s="226" t="str">
        <f>CONCATENATE("1 + (",AB285," - 1) x ",AH285," / ",D288)</f>
        <v>1 + (1,1 - 1) x 60 / 107</v>
      </c>
      <c r="AO285" s="226"/>
      <c r="AP285" s="226"/>
      <c r="AQ285" s="226"/>
      <c r="AR285" s="226"/>
      <c r="AS285" s="226"/>
      <c r="AT285" s="226"/>
      <c r="AU285" s="226"/>
      <c r="AV285" s="226"/>
      <c r="AW285" s="226"/>
      <c r="AX285" s="226"/>
      <c r="AY285" s="226"/>
      <c r="AZ285" s="110" t="s">
        <v>28</v>
      </c>
      <c r="BA285" s="284">
        <f>ROUND(1 + (AB285 - 1) *(AH285 / D288),2)</f>
        <v>1.06</v>
      </c>
      <c r="BB285" s="285"/>
      <c r="BC285" s="285"/>
      <c r="BD285" s="285"/>
      <c r="BE285" s="285"/>
      <c r="BF285" s="100"/>
      <c r="BG285" s="100"/>
      <c r="BH285" s="101"/>
      <c r="BI285" s="87"/>
      <c r="BJ285" s="87"/>
      <c r="BK285" s="87"/>
      <c r="BL285" s="87"/>
      <c r="BP285" s="87"/>
      <c r="BQ285" s="87"/>
      <c r="BR285" s="87"/>
      <c r="BS285" s="87"/>
      <c r="BT285" s="87"/>
      <c r="BU285" s="87"/>
      <c r="BV285" s="87"/>
      <c r="BW285" s="87"/>
      <c r="BX285" s="87"/>
      <c r="BY285" s="87"/>
      <c r="BZ285" s="87"/>
      <c r="CA285" s="87"/>
      <c r="CB285" s="87"/>
      <c r="CC285" s="87"/>
      <c r="CD285" s="87"/>
      <c r="CE285" s="87"/>
      <c r="CF285" s="87"/>
      <c r="CG285" s="87"/>
      <c r="CH285" s="87"/>
      <c r="CI285" s="87"/>
      <c r="CJ285" s="87"/>
      <c r="CK285" s="87"/>
      <c r="CL285" s="87"/>
      <c r="CM285" s="87"/>
      <c r="CN285" s="87"/>
      <c r="CO285" s="87"/>
      <c r="CP285" s="87"/>
      <c r="CQ285" s="87"/>
      <c r="CR285" s="87"/>
      <c r="CS285" s="87"/>
      <c r="CT285" s="87"/>
      <c r="CU285" s="87"/>
      <c r="CV285" s="87"/>
      <c r="CW285" s="87"/>
      <c r="CX285" s="87"/>
      <c r="CY285" s="87"/>
      <c r="CZ285" s="87"/>
      <c r="DA285" s="87"/>
      <c r="DB285" s="119"/>
    </row>
    <row r="286" spans="1:106" s="88" customFormat="1" ht="12" customHeight="1">
      <c r="A286" s="286" t="s">
        <v>228</v>
      </c>
      <c r="B286" s="287"/>
      <c r="C286" s="287"/>
      <c r="D286" s="287"/>
      <c r="E286" s="287"/>
      <c r="F286" s="287"/>
      <c r="G286" s="287"/>
      <c r="H286" s="287"/>
      <c r="I286" s="287"/>
      <c r="J286" s="287"/>
      <c r="K286" s="287"/>
      <c r="L286" s="287"/>
      <c r="M286" s="287"/>
      <c r="N286" s="287"/>
      <c r="O286" s="287"/>
      <c r="P286" s="287"/>
      <c r="Q286" s="287"/>
      <c r="R286" s="287"/>
      <c r="S286" s="287"/>
      <c r="T286" s="287"/>
      <c r="U286" s="287"/>
      <c r="V286" s="287"/>
      <c r="W286" s="288"/>
      <c r="X286" s="208" t="s">
        <v>183</v>
      </c>
      <c r="Y286" s="209"/>
      <c r="Z286" s="209"/>
      <c r="AA286" s="44" t="s">
        <v>28</v>
      </c>
      <c r="AB286" s="450">
        <v>1.2</v>
      </c>
      <c r="AC286" s="450"/>
      <c r="AD286" s="450"/>
      <c r="AE286" s="258" t="s">
        <v>184</v>
      </c>
      <c r="AF286" s="258"/>
      <c r="AG286" s="98" t="s">
        <v>28</v>
      </c>
      <c r="AH286" s="407">
        <v>100</v>
      </c>
      <c r="AI286" s="407"/>
      <c r="AJ286" s="407"/>
      <c r="AK286" s="248" t="s">
        <v>189</v>
      </c>
      <c r="AL286" s="248"/>
      <c r="AM286" s="44" t="s">
        <v>28</v>
      </c>
      <c r="AN286" s="226" t="str">
        <f>CONCATENATE("1 + (1 - ",AB286,") x ",AH286," / ",D288)</f>
        <v>1 + (1 - 1,2) x 100 / 107</v>
      </c>
      <c r="AO286" s="226"/>
      <c r="AP286" s="226"/>
      <c r="AQ286" s="226"/>
      <c r="AR286" s="226"/>
      <c r="AS286" s="226"/>
      <c r="AT286" s="226"/>
      <c r="AU286" s="226"/>
      <c r="AV286" s="226"/>
      <c r="AW286" s="226"/>
      <c r="AX286" s="226"/>
      <c r="AY286" s="226"/>
      <c r="AZ286" s="110" t="s">
        <v>28</v>
      </c>
      <c r="BA286" s="284">
        <f>ROUND(1 + (AB286 - 1) *(AH286 / D288),2)</f>
        <v>1.19</v>
      </c>
      <c r="BB286" s="285"/>
      <c r="BC286" s="285"/>
      <c r="BD286" s="285"/>
      <c r="BE286" s="285"/>
      <c r="BF286" s="100"/>
      <c r="BG286" s="100"/>
      <c r="BH286" s="101"/>
      <c r="BI286" s="87"/>
      <c r="BJ286" s="151">
        <f>(1+(BA285-1)+(BA286-1))</f>
        <v>1.25</v>
      </c>
      <c r="BK286" s="87"/>
      <c r="BL286" s="87"/>
      <c r="BP286" s="87"/>
      <c r="BQ286" s="87"/>
      <c r="BR286" s="87"/>
      <c r="BS286" s="87"/>
      <c r="BT286" s="87"/>
      <c r="BU286" s="87"/>
      <c r="BV286" s="87"/>
      <c r="BW286" s="87"/>
      <c r="BX286" s="87"/>
      <c r="BY286" s="87"/>
      <c r="BZ286" s="87"/>
      <c r="CA286" s="87"/>
      <c r="CB286" s="87"/>
      <c r="CC286" s="87"/>
      <c r="CD286" s="87"/>
      <c r="CE286" s="87"/>
      <c r="CF286" s="87"/>
      <c r="CG286" s="87"/>
      <c r="CH286" s="87"/>
      <c r="CI286" s="87"/>
      <c r="CJ286" s="87"/>
      <c r="CK286" s="87"/>
      <c r="CL286" s="87"/>
      <c r="CM286" s="87"/>
      <c r="CN286" s="87"/>
      <c r="CO286" s="87"/>
      <c r="CP286" s="87"/>
      <c r="CQ286" s="87"/>
      <c r="CR286" s="87"/>
      <c r="CS286" s="87"/>
      <c r="CT286" s="87"/>
      <c r="CU286" s="87"/>
      <c r="CV286" s="87"/>
      <c r="CW286" s="87"/>
      <c r="CX286" s="87"/>
      <c r="CY286" s="87"/>
      <c r="CZ286" s="87"/>
      <c r="DA286" s="87"/>
      <c r="DB286" s="119"/>
    </row>
    <row r="287" spans="1:106" s="88" customFormat="1" ht="12" customHeight="1">
      <c r="A287" s="129"/>
      <c r="B287" s="13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1"/>
      <c r="X287" s="224" t="s">
        <v>190</v>
      </c>
      <c r="Y287" s="225"/>
      <c r="Z287" s="225"/>
      <c r="AA287" s="94" t="s">
        <v>28</v>
      </c>
      <c r="AB287" s="226" t="str">
        <f>CONCATENATE(BA284," x [1 + (",BA285," - 1) + (",BA286," - 1)] = ",BA284," x ",BJ286," = ")</f>
        <v xml:space="preserve">2,5 x [1 + (1,06 - 1) + (1,19 - 1)] = 2,5 x 1,25 = </v>
      </c>
      <c r="AC287" s="226"/>
      <c r="AD287" s="226"/>
      <c r="AE287" s="226"/>
      <c r="AF287" s="226"/>
      <c r="AG287" s="226"/>
      <c r="AH287" s="226"/>
      <c r="AI287" s="226"/>
      <c r="AJ287" s="226"/>
      <c r="AK287" s="226"/>
      <c r="AL287" s="226"/>
      <c r="AM287" s="226"/>
      <c r="AN287" s="226"/>
      <c r="AO287" s="226"/>
      <c r="AP287" s="226"/>
      <c r="AQ287" s="226"/>
      <c r="AR287" s="226"/>
      <c r="AS287" s="226"/>
      <c r="AT287" s="226"/>
      <c r="AU287" s="226"/>
      <c r="AV287" s="226"/>
      <c r="AW287" s="226"/>
      <c r="AX287" s="226"/>
      <c r="AY287" s="226"/>
      <c r="AZ287" s="227"/>
      <c r="BA287" s="210">
        <f>ROUND(BA284*BJ286,2)</f>
        <v>3.13</v>
      </c>
      <c r="BB287" s="211"/>
      <c r="BC287" s="211"/>
      <c r="BD287" s="211"/>
      <c r="BE287" s="211"/>
      <c r="BF287" s="212" t="s">
        <v>163</v>
      </c>
      <c r="BG287" s="212"/>
      <c r="BH287" s="213"/>
      <c r="BI287" s="87"/>
      <c r="BJ287" s="144"/>
      <c r="BK287" s="87"/>
      <c r="BL287" s="87"/>
      <c r="BM287" s="87"/>
      <c r="BN287" s="87"/>
      <c r="BO287" s="87"/>
      <c r="BP287" s="87"/>
      <c r="BQ287" s="87"/>
      <c r="BR287" s="87"/>
      <c r="BS287" s="87"/>
      <c r="BT287" s="87"/>
      <c r="BU287" s="87"/>
      <c r="BV287" s="87"/>
      <c r="BW287" s="87"/>
      <c r="BX287" s="87"/>
      <c r="BY287" s="87"/>
      <c r="BZ287" s="87"/>
      <c r="CA287" s="87"/>
      <c r="CB287" s="87"/>
      <c r="CC287" s="87"/>
      <c r="CD287" s="87"/>
      <c r="CE287" s="87"/>
      <c r="CF287" s="87"/>
      <c r="CG287" s="87"/>
      <c r="CH287" s="87"/>
      <c r="CI287" s="87"/>
      <c r="CJ287" s="87"/>
      <c r="CK287" s="87"/>
      <c r="CL287" s="87"/>
      <c r="CM287" s="87"/>
      <c r="CN287" s="87"/>
      <c r="CO287" s="87"/>
      <c r="CP287" s="87"/>
      <c r="CQ287" s="87"/>
      <c r="CR287" s="87"/>
      <c r="CS287" s="87"/>
      <c r="CT287" s="87"/>
      <c r="CU287" s="87"/>
      <c r="CV287" s="87"/>
      <c r="CW287" s="87"/>
      <c r="CX287" s="87"/>
      <c r="CY287" s="87"/>
      <c r="CZ287" s="87"/>
      <c r="DA287" s="87"/>
      <c r="DB287" s="119"/>
    </row>
    <row r="288" spans="1:106" s="88" customFormat="1" ht="12" customHeight="1">
      <c r="A288" s="214" t="s">
        <v>170</v>
      </c>
      <c r="B288" s="215"/>
      <c r="C288" s="113" t="s">
        <v>28</v>
      </c>
      <c r="D288" s="216">
        <v>107</v>
      </c>
      <c r="E288" s="216"/>
      <c r="F288" s="216"/>
      <c r="G288" s="216"/>
      <c r="H288" s="216"/>
      <c r="I288" s="218" t="s">
        <v>235</v>
      </c>
      <c r="J288" s="218"/>
      <c r="K288" s="218"/>
      <c r="L288" s="218"/>
      <c r="M288" s="218"/>
      <c r="N288" s="218"/>
      <c r="O288" s="120"/>
      <c r="P288" s="120"/>
      <c r="Q288" s="120"/>
      <c r="R288" s="215"/>
      <c r="S288" s="215"/>
      <c r="T288" s="113"/>
      <c r="U288" s="217"/>
      <c r="V288" s="218"/>
      <c r="W288" s="219"/>
      <c r="X288" s="220" t="s">
        <v>162</v>
      </c>
      <c r="Y288" s="221"/>
      <c r="Z288" s="221"/>
      <c r="AA288" s="97" t="s">
        <v>28</v>
      </c>
      <c r="AB288" s="222" t="str">
        <f ca="1">CONCATENATE(BA287," x ",$AO$17," x ", AP281," x [1 + 0,5 x (",AW281," - 1)]  = ")</f>
        <v xml:space="preserve">3,13 x 307,7 x 1,1522 x [1 + 0,5 x (1,0067 - 1)]  = </v>
      </c>
      <c r="AC288" s="222"/>
      <c r="AD288" s="222"/>
      <c r="AE288" s="222"/>
      <c r="AF288" s="222"/>
      <c r="AG288" s="222"/>
      <c r="AH288" s="222"/>
      <c r="AI288" s="222"/>
      <c r="AJ288" s="222"/>
      <c r="AK288" s="222"/>
      <c r="AL288" s="222"/>
      <c r="AM288" s="222"/>
      <c r="AN288" s="222"/>
      <c r="AO288" s="222"/>
      <c r="AP288" s="222"/>
      <c r="AQ288" s="222"/>
      <c r="AR288" s="222"/>
      <c r="AS288" s="222"/>
      <c r="AT288" s="222"/>
      <c r="AU288" s="222"/>
      <c r="AV288" s="222"/>
      <c r="AW288" s="222"/>
      <c r="AX288" s="222"/>
      <c r="AY288" s="222"/>
      <c r="AZ288" s="223"/>
      <c r="BA288" s="268">
        <f ca="1">ROUND(BA287*$AO$17*AP281*(1+0.5*(AW281-1)),2)</f>
        <v>1113.4000000000001</v>
      </c>
      <c r="BB288" s="269"/>
      <c r="BC288" s="269"/>
      <c r="BD288" s="269"/>
      <c r="BE288" s="269"/>
      <c r="BF288" s="270" t="s">
        <v>23</v>
      </c>
      <c r="BG288" s="270"/>
      <c r="BH288" s="271"/>
      <c r="BI288" s="87"/>
      <c r="BJ288" s="87"/>
      <c r="BK288" s="87"/>
      <c r="BL288" s="87"/>
      <c r="BM288" s="87"/>
      <c r="BN288" s="87"/>
      <c r="BO288" s="87"/>
      <c r="BP288" s="87"/>
      <c r="BQ288" s="87"/>
      <c r="BR288" s="87"/>
      <c r="BS288" s="87"/>
      <c r="BT288" s="87"/>
      <c r="BU288" s="87"/>
      <c r="BV288" s="87"/>
      <c r="BW288" s="87"/>
      <c r="BX288" s="87"/>
      <c r="BY288" s="87"/>
      <c r="BZ288" s="87"/>
      <c r="CA288" s="87"/>
      <c r="CB288" s="87"/>
      <c r="CC288" s="87"/>
      <c r="CD288" s="87"/>
      <c r="CE288" s="87"/>
      <c r="CF288" s="87"/>
      <c r="CG288" s="87"/>
      <c r="CH288" s="87"/>
      <c r="CI288" s="87"/>
      <c r="CJ288" s="87"/>
      <c r="CK288" s="87"/>
      <c r="CL288" s="87"/>
      <c r="CM288" s="87"/>
      <c r="CN288" s="87"/>
      <c r="CO288" s="87"/>
      <c r="CP288" s="87"/>
      <c r="CQ288" s="87"/>
      <c r="CR288" s="87"/>
      <c r="CS288" s="87"/>
      <c r="CT288" s="87"/>
      <c r="CU288" s="87"/>
      <c r="CV288" s="87"/>
      <c r="CW288" s="87"/>
      <c r="CX288" s="87"/>
      <c r="CY288" s="87"/>
      <c r="CZ288" s="87"/>
      <c r="DA288" s="87"/>
      <c r="DB288" s="119"/>
    </row>
    <row r="289" spans="1:106" s="88" customFormat="1" ht="12" customHeight="1">
      <c r="A289" s="241" t="s">
        <v>240</v>
      </c>
      <c r="B289" s="242"/>
      <c r="C289" s="242"/>
      <c r="D289" s="242"/>
      <c r="E289" s="242"/>
      <c r="F289" s="242"/>
      <c r="G289" s="242"/>
      <c r="H289" s="242"/>
      <c r="I289" s="242"/>
      <c r="J289" s="242"/>
      <c r="K289" s="242"/>
      <c r="L289" s="242"/>
      <c r="M289" s="242"/>
      <c r="N289" s="242"/>
      <c r="O289" s="242"/>
      <c r="P289" s="242"/>
      <c r="Q289" s="242"/>
      <c r="R289" s="242"/>
      <c r="S289" s="242"/>
      <c r="T289" s="242"/>
      <c r="U289" s="242"/>
      <c r="V289" s="242"/>
      <c r="W289" s="243"/>
      <c r="X289" s="244" t="s">
        <v>45</v>
      </c>
      <c r="Y289" s="245"/>
      <c r="Z289" s="245"/>
      <c r="AA289" s="245"/>
      <c r="AB289" s="253">
        <f ca="1">график!C39</f>
        <v>45658</v>
      </c>
      <c r="AC289" s="246"/>
      <c r="AD289" s="246"/>
      <c r="AE289" s="246"/>
      <c r="AF289" s="246"/>
      <c r="AG289" s="93" t="s">
        <v>1</v>
      </c>
      <c r="AH289" s="254">
        <f ca="1">график!E39</f>
        <v>45658</v>
      </c>
      <c r="AI289" s="247"/>
      <c r="AJ289" s="247"/>
      <c r="AK289" s="247"/>
      <c r="AL289" s="247"/>
      <c r="AM289" s="255" t="s">
        <v>158</v>
      </c>
      <c r="AN289" s="255"/>
      <c r="AO289" s="91" t="s">
        <v>28</v>
      </c>
      <c r="AP289" s="256">
        <f ca="1">график!F39</f>
        <v>1.1521999999999999</v>
      </c>
      <c r="AQ289" s="256"/>
      <c r="AR289" s="256"/>
      <c r="AS289" s="256"/>
      <c r="AT289" s="255" t="s">
        <v>159</v>
      </c>
      <c r="AU289" s="255"/>
      <c r="AV289" s="91" t="s">
        <v>28</v>
      </c>
      <c r="AW289" s="228">
        <f ca="1">график!G39</f>
        <v>1.0066999999999999</v>
      </c>
      <c r="AX289" s="228"/>
      <c r="AY289" s="228"/>
      <c r="AZ289" s="229"/>
      <c r="BA289" s="230"/>
      <c r="BB289" s="231"/>
      <c r="BC289" s="231"/>
      <c r="BD289" s="231"/>
      <c r="BE289" s="231"/>
      <c r="BF289" s="231"/>
      <c r="BG289" s="231"/>
      <c r="BH289" s="232"/>
      <c r="BI289" s="87"/>
      <c r="BJ289" s="87"/>
      <c r="BK289" s="87"/>
      <c r="BL289" s="87"/>
      <c r="BM289" s="87"/>
      <c r="BN289" s="87"/>
      <c r="BO289" s="87"/>
      <c r="BP289" s="87"/>
      <c r="BQ289" s="87"/>
      <c r="BR289" s="87"/>
      <c r="BS289" s="87"/>
      <c r="BT289" s="87"/>
      <c r="BU289" s="87"/>
      <c r="BV289" s="87"/>
      <c r="BW289" s="87"/>
      <c r="BX289" s="87"/>
      <c r="BY289" s="87"/>
      <c r="BZ289" s="87"/>
      <c r="CA289" s="87"/>
      <c r="CB289" s="87"/>
      <c r="CC289" s="87"/>
      <c r="CD289" s="87"/>
      <c r="CE289" s="87"/>
      <c r="CF289" s="87"/>
      <c r="CG289" s="87"/>
      <c r="CH289" s="87"/>
      <c r="CI289" s="87"/>
      <c r="CJ289" s="87"/>
      <c r="CK289" s="87"/>
      <c r="CL289" s="87"/>
      <c r="CM289" s="87"/>
      <c r="CN289" s="87"/>
      <c r="CO289" s="87"/>
      <c r="CP289" s="87"/>
      <c r="CQ289" s="87"/>
      <c r="CR289" s="87"/>
      <c r="CS289" s="87"/>
      <c r="CT289" s="87"/>
      <c r="CU289" s="87"/>
      <c r="CV289" s="87"/>
      <c r="CW289" s="87"/>
      <c r="CX289" s="87"/>
      <c r="CY289" s="87"/>
      <c r="CZ289" s="87"/>
      <c r="DA289" s="87"/>
      <c r="DB289" s="119"/>
    </row>
    <row r="290" spans="1:106" s="88" customFormat="1" ht="12" customHeight="1">
      <c r="A290" s="273" t="s">
        <v>232</v>
      </c>
      <c r="B290" s="274"/>
      <c r="C290" s="274"/>
      <c r="D290" s="274"/>
      <c r="E290" s="274"/>
      <c r="F290" s="274"/>
      <c r="G290" s="274"/>
      <c r="H290" s="274"/>
      <c r="I290" s="274"/>
      <c r="J290" s="274"/>
      <c r="K290" s="274"/>
      <c r="L290" s="274"/>
      <c r="M290" s="274"/>
      <c r="N290" s="274"/>
      <c r="O290" s="274"/>
      <c r="P290" s="274"/>
      <c r="Q290" s="274"/>
      <c r="R290" s="274"/>
      <c r="S290" s="274"/>
      <c r="T290" s="274"/>
      <c r="U290" s="274"/>
      <c r="V290" s="274"/>
      <c r="W290" s="275"/>
      <c r="X290" s="208" t="s">
        <v>39</v>
      </c>
      <c r="Y290" s="209"/>
      <c r="Z290" s="209"/>
      <c r="AA290" s="44" t="s">
        <v>28</v>
      </c>
      <c r="AB290" s="276">
        <v>0.5</v>
      </c>
      <c r="AC290" s="276"/>
      <c r="AD290" s="276"/>
      <c r="AE290" s="276"/>
      <c r="AF290" s="248" t="s">
        <v>40</v>
      </c>
      <c r="AG290" s="209"/>
      <c r="AH290" s="209"/>
      <c r="AI290" s="209"/>
      <c r="AJ290" s="209"/>
      <c r="AK290" s="44" t="s">
        <v>28</v>
      </c>
      <c r="AL290" s="289">
        <v>2.63</v>
      </c>
      <c r="AM290" s="290"/>
      <c r="AN290" s="290"/>
      <c r="AO290" s="290"/>
      <c r="AP290" s="290"/>
      <c r="AQ290" s="258"/>
      <c r="AR290" s="258"/>
      <c r="AS290" s="272"/>
      <c r="AT290" s="272"/>
      <c r="AU290" s="272"/>
      <c r="AV290" s="98"/>
      <c r="AW290" s="263"/>
      <c r="AX290" s="226"/>
      <c r="AY290" s="226"/>
      <c r="AZ290" s="227"/>
      <c r="BA290" s="210"/>
      <c r="BB290" s="211"/>
      <c r="BC290" s="211"/>
      <c r="BD290" s="211"/>
      <c r="BE290" s="211"/>
      <c r="BF290" s="212"/>
      <c r="BG290" s="212"/>
      <c r="BH290" s="213"/>
      <c r="BI290" s="87"/>
      <c r="BJ290" s="87"/>
      <c r="BK290" s="87"/>
      <c r="BL290" s="87"/>
      <c r="BM290" s="87"/>
      <c r="BN290" s="87"/>
      <c r="BO290" s="87"/>
      <c r="BP290" s="87"/>
      <c r="BQ290" s="87"/>
      <c r="BR290" s="87"/>
      <c r="BS290" s="87"/>
      <c r="BT290" s="87"/>
      <c r="BU290" s="87"/>
      <c r="BV290" s="87"/>
      <c r="BW290" s="87"/>
      <c r="BX290" s="87"/>
      <c r="BY290" s="87"/>
      <c r="BZ290" s="87"/>
      <c r="CA290" s="87"/>
      <c r="CB290" s="87"/>
      <c r="CC290" s="87"/>
      <c r="CD290" s="87"/>
      <c r="CE290" s="87"/>
      <c r="CF290" s="87"/>
      <c r="CG290" s="87"/>
      <c r="CH290" s="87"/>
      <c r="CI290" s="87"/>
      <c r="CJ290" s="87"/>
      <c r="CK290" s="87"/>
      <c r="CL290" s="87"/>
      <c r="CM290" s="87"/>
      <c r="CN290" s="87"/>
      <c r="CO290" s="87"/>
      <c r="CP290" s="87"/>
      <c r="CQ290" s="87"/>
      <c r="CR290" s="87"/>
      <c r="CS290" s="87"/>
      <c r="CT290" s="87"/>
      <c r="CU290" s="87"/>
      <c r="CV290" s="87"/>
      <c r="CW290" s="87"/>
      <c r="CX290" s="87"/>
      <c r="CY290" s="87"/>
      <c r="CZ290" s="87"/>
      <c r="DA290" s="87"/>
      <c r="DB290" s="119"/>
    </row>
    <row r="291" spans="1:106" s="88" customFormat="1" ht="12" customHeight="1">
      <c r="A291" s="273"/>
      <c r="B291" s="274"/>
      <c r="C291" s="274"/>
      <c r="D291" s="274"/>
      <c r="E291" s="274"/>
      <c r="F291" s="274"/>
      <c r="G291" s="274"/>
      <c r="H291" s="274"/>
      <c r="I291" s="274"/>
      <c r="J291" s="274"/>
      <c r="K291" s="274"/>
      <c r="L291" s="274"/>
      <c r="M291" s="274"/>
      <c r="N291" s="274"/>
      <c r="O291" s="274"/>
      <c r="P291" s="274"/>
      <c r="Q291" s="274"/>
      <c r="R291" s="274"/>
      <c r="S291" s="274"/>
      <c r="T291" s="274"/>
      <c r="U291" s="274"/>
      <c r="V291" s="274"/>
      <c r="W291" s="275"/>
      <c r="X291" s="208" t="s">
        <v>43</v>
      </c>
      <c r="Y291" s="209"/>
      <c r="Z291" s="209"/>
      <c r="AA291" s="44" t="s">
        <v>28</v>
      </c>
      <c r="AB291" s="226">
        <v>1</v>
      </c>
      <c r="AC291" s="226"/>
      <c r="AD291" s="226"/>
      <c r="AE291" s="226"/>
      <c r="AF291" s="248" t="s">
        <v>44</v>
      </c>
      <c r="AG291" s="209"/>
      <c r="AH291" s="209"/>
      <c r="AI291" s="209"/>
      <c r="AJ291" s="209"/>
      <c r="AK291" s="44" t="s">
        <v>28</v>
      </c>
      <c r="AL291" s="289">
        <v>2.97</v>
      </c>
      <c r="AM291" s="290"/>
      <c r="AN291" s="290"/>
      <c r="AO291" s="290"/>
      <c r="AP291" s="290"/>
      <c r="AQ291" s="108"/>
      <c r="AR291" s="108"/>
      <c r="AS291" s="108"/>
      <c r="AT291" s="108"/>
      <c r="AU291" s="108"/>
      <c r="AV291" s="108"/>
      <c r="AW291" s="108"/>
      <c r="AX291" s="108"/>
      <c r="AY291" s="108"/>
      <c r="AZ291" s="135"/>
      <c r="BA291" s="210"/>
      <c r="BB291" s="211"/>
      <c r="BC291" s="211"/>
      <c r="BD291" s="211"/>
      <c r="BE291" s="211"/>
      <c r="BF291" s="212"/>
      <c r="BG291" s="212"/>
      <c r="BH291" s="213"/>
      <c r="BI291" s="87"/>
      <c r="BJ291" s="87"/>
      <c r="BK291" s="87"/>
      <c r="BL291" s="87"/>
      <c r="BM291" s="87"/>
      <c r="BN291" s="87"/>
      <c r="BO291" s="87"/>
      <c r="BP291" s="87"/>
      <c r="BQ291" s="87"/>
      <c r="BR291" s="87"/>
      <c r="BS291" s="87"/>
      <c r="BT291" s="87"/>
      <c r="BU291" s="87"/>
      <c r="BV291" s="87"/>
      <c r="BW291" s="87"/>
      <c r="BX291" s="87"/>
      <c r="BY291" s="87"/>
      <c r="BZ291" s="87"/>
      <c r="CA291" s="87"/>
      <c r="CB291" s="87"/>
      <c r="CC291" s="87"/>
      <c r="CD291" s="87"/>
      <c r="CE291" s="87"/>
      <c r="CF291" s="87"/>
      <c r="CG291" s="87"/>
      <c r="CH291" s="87"/>
      <c r="CI291" s="87"/>
      <c r="CJ291" s="87"/>
      <c r="CK291" s="87"/>
      <c r="CL291" s="87"/>
      <c r="CM291" s="87"/>
      <c r="CN291" s="87"/>
      <c r="CO291" s="87"/>
      <c r="CP291" s="87"/>
      <c r="CQ291" s="87"/>
      <c r="CR291" s="87"/>
      <c r="CS291" s="87"/>
      <c r="CT291" s="87"/>
      <c r="CU291" s="87"/>
      <c r="CV291" s="87"/>
      <c r="CW291" s="87"/>
      <c r="CX291" s="87"/>
      <c r="CY291" s="87"/>
      <c r="CZ291" s="87"/>
      <c r="DA291" s="87"/>
      <c r="DB291" s="119"/>
    </row>
    <row r="292" spans="1:106" s="88" customFormat="1" ht="12" customHeight="1">
      <c r="A292" s="273"/>
      <c r="B292" s="274"/>
      <c r="C292" s="274"/>
      <c r="D292" s="274"/>
      <c r="E292" s="274"/>
      <c r="F292" s="274"/>
      <c r="G292" s="274"/>
      <c r="H292" s="274"/>
      <c r="I292" s="274"/>
      <c r="J292" s="274"/>
      <c r="K292" s="274"/>
      <c r="L292" s="274"/>
      <c r="M292" s="274"/>
      <c r="N292" s="274"/>
      <c r="O292" s="274"/>
      <c r="P292" s="274"/>
      <c r="Q292" s="274"/>
      <c r="R292" s="274"/>
      <c r="S292" s="274"/>
      <c r="T292" s="274"/>
      <c r="U292" s="274"/>
      <c r="V292" s="274"/>
      <c r="W292" s="275"/>
      <c r="X292" s="224" t="s">
        <v>22</v>
      </c>
      <c r="Y292" s="225"/>
      <c r="Z292" s="225"/>
      <c r="AA292" s="94" t="s">
        <v>28</v>
      </c>
      <c r="AB292" s="226" t="str">
        <f>CONCATENATE(AL290," + [(",AL291," - ", AL290,") / (",AB291," - ", AB290,")] x (",D293," - ",AB290,")  = ")</f>
        <v xml:space="preserve">2,63 + [(2,97 - 2,63) / (1 - 0,5)] x (0,79 - 0,5)  = </v>
      </c>
      <c r="AC292" s="226"/>
      <c r="AD292" s="226"/>
      <c r="AE292" s="226"/>
      <c r="AF292" s="226"/>
      <c r="AG292" s="226"/>
      <c r="AH292" s="226"/>
      <c r="AI292" s="226"/>
      <c r="AJ292" s="226"/>
      <c r="AK292" s="226"/>
      <c r="AL292" s="226"/>
      <c r="AM292" s="226"/>
      <c r="AN292" s="226"/>
      <c r="AO292" s="226"/>
      <c r="AP292" s="226"/>
      <c r="AQ292" s="226"/>
      <c r="AR292" s="226"/>
      <c r="AS292" s="226"/>
      <c r="AT292" s="226"/>
      <c r="AU292" s="226"/>
      <c r="AV292" s="226"/>
      <c r="AW292" s="226"/>
      <c r="AX292" s="226"/>
      <c r="AY292" s="226"/>
      <c r="AZ292" s="227"/>
      <c r="BA292" s="210">
        <f>ROUND(AL290 + ((AL291-AL290) / (AB291-AB290)) * (D293-AB290),2)</f>
        <v>2.83</v>
      </c>
      <c r="BB292" s="211"/>
      <c r="BC292" s="211"/>
      <c r="BD292" s="211"/>
      <c r="BE292" s="211"/>
      <c r="BF292" s="212" t="s">
        <v>163</v>
      </c>
      <c r="BG292" s="212"/>
      <c r="BH292" s="213"/>
      <c r="BI292" s="87"/>
      <c r="BJ292" s="144" t="s">
        <v>171</v>
      </c>
      <c r="BK292" s="87"/>
      <c r="BL292" s="87"/>
      <c r="BM292" s="87"/>
      <c r="BN292" s="87"/>
      <c r="BO292" s="87"/>
      <c r="BP292" s="87"/>
      <c r="BQ292" s="87"/>
      <c r="BR292" s="87"/>
      <c r="BS292" s="87"/>
      <c r="BT292" s="87"/>
      <c r="BU292" s="87"/>
      <c r="BV292" s="87"/>
      <c r="BW292" s="87"/>
      <c r="BX292" s="87"/>
      <c r="BY292" s="87"/>
      <c r="BZ292" s="87"/>
      <c r="CA292" s="87"/>
      <c r="CB292" s="87"/>
      <c r="CC292" s="87"/>
      <c r="CD292" s="87"/>
      <c r="CE292" s="87"/>
      <c r="CF292" s="87"/>
      <c r="CG292" s="87"/>
      <c r="CH292" s="87"/>
      <c r="CI292" s="87"/>
      <c r="CJ292" s="87"/>
      <c r="CK292" s="87"/>
      <c r="CL292" s="87"/>
      <c r="CM292" s="87"/>
      <c r="CN292" s="87"/>
      <c r="CO292" s="87"/>
      <c r="CP292" s="87"/>
      <c r="CQ292" s="87"/>
      <c r="CR292" s="87"/>
      <c r="CS292" s="87"/>
      <c r="CT292" s="87"/>
      <c r="CU292" s="87"/>
      <c r="CV292" s="87"/>
      <c r="CW292" s="87"/>
      <c r="CX292" s="87"/>
      <c r="CY292" s="87"/>
      <c r="CZ292" s="87"/>
      <c r="DA292" s="87"/>
      <c r="DB292" s="119"/>
    </row>
    <row r="293" spans="1:106" s="88" customFormat="1" ht="12" customHeight="1">
      <c r="A293" s="214" t="s">
        <v>170</v>
      </c>
      <c r="B293" s="215"/>
      <c r="C293" s="113" t="s">
        <v>28</v>
      </c>
      <c r="D293" s="305">
        <v>0.79</v>
      </c>
      <c r="E293" s="305"/>
      <c r="F293" s="305"/>
      <c r="G293" s="305"/>
      <c r="H293" s="305"/>
      <c r="I293" s="218" t="s">
        <v>236</v>
      </c>
      <c r="J293" s="218"/>
      <c r="K293" s="218"/>
      <c r="L293" s="218"/>
      <c r="M293" s="218"/>
      <c r="N293" s="218"/>
      <c r="O293" s="120"/>
      <c r="P293" s="120"/>
      <c r="Q293" s="120"/>
      <c r="R293" s="215"/>
      <c r="S293" s="215"/>
      <c r="T293" s="113"/>
      <c r="U293" s="217"/>
      <c r="V293" s="218"/>
      <c r="W293" s="219"/>
      <c r="X293" s="220" t="s">
        <v>162</v>
      </c>
      <c r="Y293" s="221"/>
      <c r="Z293" s="221"/>
      <c r="AA293" s="97" t="s">
        <v>28</v>
      </c>
      <c r="AB293" s="222" t="str">
        <f ca="1">CONCATENATE(BA292," x ",$AO$17," x ", AP289," x [1 + 0,5 x (",AW289," - 1)]  = ")</f>
        <v xml:space="preserve">2,83 x 307,7 x 1,1522 x [1 + 0,5 x (1,0067 - 1)]  = </v>
      </c>
      <c r="AC293" s="222"/>
      <c r="AD293" s="222"/>
      <c r="AE293" s="222"/>
      <c r="AF293" s="222"/>
      <c r="AG293" s="222"/>
      <c r="AH293" s="222"/>
      <c r="AI293" s="222"/>
      <c r="AJ293" s="222"/>
      <c r="AK293" s="222"/>
      <c r="AL293" s="222"/>
      <c r="AM293" s="222"/>
      <c r="AN293" s="222"/>
      <c r="AO293" s="222"/>
      <c r="AP293" s="222"/>
      <c r="AQ293" s="222"/>
      <c r="AR293" s="222"/>
      <c r="AS293" s="222"/>
      <c r="AT293" s="222"/>
      <c r="AU293" s="222"/>
      <c r="AV293" s="222"/>
      <c r="AW293" s="222"/>
      <c r="AX293" s="222"/>
      <c r="AY293" s="222"/>
      <c r="AZ293" s="223"/>
      <c r="BA293" s="268">
        <f ca="1">ROUND(BA292*$AO$17*AP289*(1+0.5*(AW289-1)),2)</f>
        <v>1006.69</v>
      </c>
      <c r="BB293" s="269"/>
      <c r="BC293" s="269"/>
      <c r="BD293" s="269"/>
      <c r="BE293" s="269"/>
      <c r="BF293" s="270" t="s">
        <v>23</v>
      </c>
      <c r="BG293" s="270"/>
      <c r="BH293" s="271"/>
      <c r="BI293" s="87"/>
      <c r="BJ293" s="87"/>
      <c r="BK293" s="87"/>
      <c r="BL293" s="87"/>
      <c r="BM293" s="87"/>
      <c r="BN293" s="87"/>
      <c r="BO293" s="87"/>
      <c r="BP293" s="87"/>
      <c r="BQ293" s="87"/>
      <c r="BR293" s="87"/>
      <c r="BS293" s="87"/>
      <c r="BT293" s="87"/>
      <c r="BU293" s="87"/>
      <c r="BV293" s="87"/>
      <c r="BW293" s="87"/>
      <c r="BX293" s="87"/>
      <c r="BY293" s="87"/>
      <c r="BZ293" s="87"/>
      <c r="CA293" s="87"/>
      <c r="CB293" s="87"/>
      <c r="CC293" s="87"/>
      <c r="CD293" s="87"/>
      <c r="CE293" s="87"/>
      <c r="CF293" s="87"/>
      <c r="CG293" s="87"/>
      <c r="CH293" s="87"/>
      <c r="CI293" s="87"/>
      <c r="CJ293" s="87"/>
      <c r="CK293" s="87"/>
      <c r="CL293" s="87"/>
      <c r="CM293" s="87"/>
      <c r="CN293" s="87"/>
      <c r="CO293" s="87"/>
      <c r="CP293" s="87"/>
      <c r="CQ293" s="87"/>
      <c r="CR293" s="87"/>
      <c r="CS293" s="87"/>
      <c r="CT293" s="87"/>
      <c r="CU293" s="87"/>
      <c r="CV293" s="87"/>
      <c r="CW293" s="87"/>
      <c r="CX293" s="87"/>
      <c r="CY293" s="87"/>
      <c r="CZ293" s="87"/>
      <c r="DA293" s="87"/>
      <c r="DB293" s="119"/>
    </row>
    <row r="294" spans="1:106" ht="12" customHeight="1">
      <c r="A294" s="103" t="s">
        <v>223</v>
      </c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5"/>
      <c r="AL294" s="105"/>
      <c r="AM294" s="105"/>
      <c r="AN294" s="105"/>
      <c r="AO294" s="105"/>
      <c r="AP294" s="105"/>
      <c r="AQ294" s="106"/>
      <c r="AR294" s="107"/>
      <c r="AS294" s="106"/>
      <c r="AT294" s="106"/>
      <c r="AU294" s="106"/>
      <c r="AV294" s="106"/>
      <c r="AW294" s="291" t="s">
        <v>22</v>
      </c>
      <c r="AX294" s="291"/>
      <c r="AY294" s="291"/>
      <c r="AZ294" s="156" t="s">
        <v>28</v>
      </c>
      <c r="BA294" s="292">
        <f>BA279+BA287+BA292</f>
        <v>18.130000000000003</v>
      </c>
      <c r="BB294" s="292"/>
      <c r="BC294" s="292"/>
      <c r="BD294" s="292"/>
      <c r="BE294" s="292"/>
      <c r="BF294" s="157" t="s">
        <v>163</v>
      </c>
      <c r="BG294" s="157"/>
      <c r="BH294" s="158"/>
    </row>
    <row r="295" spans="1:106" s="88" customFormat="1" ht="12" customHeight="1">
      <c r="A295" s="264" t="s">
        <v>160</v>
      </c>
      <c r="B295" s="265"/>
      <c r="C295" s="265"/>
      <c r="D295" s="265"/>
      <c r="E295" s="265"/>
      <c r="F295" s="265"/>
      <c r="G295" s="265"/>
      <c r="H295" s="265"/>
      <c r="I295" s="265"/>
      <c r="J295" s="265"/>
      <c r="K295" s="265"/>
      <c r="L295" s="265"/>
      <c r="M295" s="265"/>
      <c r="N295" s="265"/>
      <c r="O295" s="265"/>
      <c r="P295" s="265"/>
      <c r="Q295" s="265"/>
      <c r="R295" s="265"/>
      <c r="S295" s="265"/>
      <c r="T295" s="265"/>
      <c r="U295" s="265"/>
      <c r="V295" s="265"/>
      <c r="W295" s="265"/>
      <c r="X295" s="111"/>
      <c r="Y295" s="111"/>
      <c r="Z295" s="111"/>
      <c r="AA295" s="111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5"/>
      <c r="AU295" s="115"/>
      <c r="AV295" s="116"/>
      <c r="AW295" s="266" t="s">
        <v>167</v>
      </c>
      <c r="AX295" s="266"/>
      <c r="AY295" s="266"/>
      <c r="AZ295" s="112" t="s">
        <v>28</v>
      </c>
      <c r="BA295" s="260">
        <f ca="1">BA280+BA288+BA293</f>
        <v>6449.2000000000007</v>
      </c>
      <c r="BB295" s="260"/>
      <c r="BC295" s="260"/>
      <c r="BD295" s="260"/>
      <c r="BE295" s="260"/>
      <c r="BF295" s="261" t="s">
        <v>23</v>
      </c>
      <c r="BG295" s="261"/>
      <c r="BH295" s="262"/>
      <c r="BI295" s="87"/>
      <c r="BJ295" s="87"/>
      <c r="BK295" s="87"/>
      <c r="BL295" s="87"/>
      <c r="BM295" s="87"/>
      <c r="BN295" s="87"/>
      <c r="BO295" s="87"/>
      <c r="BP295" s="87"/>
      <c r="BQ295" s="87"/>
      <c r="BR295" s="87"/>
      <c r="BS295" s="87"/>
      <c r="BT295" s="87"/>
      <c r="BU295" s="87"/>
      <c r="BV295" s="87"/>
      <c r="BW295" s="87"/>
      <c r="BX295" s="87"/>
      <c r="BY295" s="87"/>
      <c r="BZ295" s="87"/>
      <c r="CA295" s="87"/>
      <c r="CB295" s="87"/>
      <c r="CC295" s="87"/>
      <c r="CD295" s="87"/>
      <c r="CE295" s="87"/>
      <c r="CF295" s="87"/>
      <c r="CG295" s="87"/>
      <c r="CH295" s="87"/>
      <c r="CI295" s="87"/>
      <c r="CJ295" s="87"/>
      <c r="CK295" s="87"/>
      <c r="CL295" s="87"/>
      <c r="CM295" s="87"/>
      <c r="CN295" s="87"/>
      <c r="CO295" s="87"/>
      <c r="CP295" s="87"/>
      <c r="CQ295" s="87"/>
      <c r="CR295" s="87"/>
      <c r="CS295" s="87"/>
      <c r="CT295" s="87"/>
      <c r="CU295" s="87"/>
      <c r="CV295" s="87"/>
      <c r="CW295" s="87"/>
      <c r="CX295" s="87"/>
      <c r="CY295" s="87"/>
      <c r="CZ295" s="87"/>
      <c r="DA295" s="87"/>
      <c r="DB295" s="119"/>
    </row>
    <row r="296" spans="1:106" s="1" customFormat="1" ht="24" hidden="1" customHeight="1">
      <c r="A296" s="249" t="str">
        <f ca="1">график!A40</f>
        <v>11</v>
      </c>
      <c r="B296" s="250"/>
      <c r="C296" s="236" t="str">
        <f ca="1">график!B40</f>
        <v>УСЛУГИ ПО ОРГАНИЗАЦИИ СОЗДАНИЯ ОБЪЕКТОВ ДОЛЕВОГО СТРОИТЕЛЬСТВА С ПРИВЛЕЧЕНИЕМ СРЕДСТВ ДОЛЬЩИКОВ (ПРИ ДОЛЕВОМ СТРОИТЕЛЬСТВЕ)</v>
      </c>
      <c r="D296" s="237"/>
      <c r="E296" s="237"/>
      <c r="F296" s="237"/>
      <c r="G296" s="237"/>
      <c r="H296" s="237"/>
      <c r="I296" s="237"/>
      <c r="J296" s="237"/>
      <c r="K296" s="237"/>
      <c r="L296" s="237"/>
      <c r="M296" s="237"/>
      <c r="N296" s="237"/>
      <c r="O296" s="237"/>
      <c r="P296" s="237"/>
      <c r="Q296" s="237"/>
      <c r="R296" s="237"/>
      <c r="S296" s="237"/>
      <c r="T296" s="237"/>
      <c r="U296" s="237"/>
      <c r="V296" s="237"/>
      <c r="W296" s="237"/>
      <c r="X296" s="237"/>
      <c r="Y296" s="237"/>
      <c r="Z296" s="237"/>
      <c r="AA296" s="237"/>
      <c r="AB296" s="237"/>
      <c r="AC296" s="237"/>
      <c r="AD296" s="237"/>
      <c r="AE296" s="237"/>
      <c r="AF296" s="237"/>
      <c r="AG296" s="237"/>
      <c r="AH296" s="237"/>
      <c r="AI296" s="237"/>
      <c r="AJ296" s="237"/>
      <c r="AK296" s="237"/>
      <c r="AL296" s="237"/>
      <c r="AM296" s="237"/>
      <c r="AN296" s="237"/>
      <c r="AO296" s="237"/>
      <c r="AP296" s="237"/>
      <c r="AQ296" s="237"/>
      <c r="AR296" s="237"/>
      <c r="AS296" s="237"/>
      <c r="AT296" s="237"/>
      <c r="AU296" s="237"/>
      <c r="AV296" s="237"/>
      <c r="AW296" s="237"/>
      <c r="AX296" s="237"/>
      <c r="AY296" s="237"/>
      <c r="AZ296" s="237"/>
      <c r="BA296" s="237"/>
      <c r="BB296" s="237"/>
      <c r="BC296" s="237"/>
      <c r="BD296" s="237"/>
      <c r="BE296" s="237"/>
      <c r="BF296" s="237"/>
      <c r="BG296" s="237"/>
      <c r="BH296" s="238"/>
      <c r="BI296" s="87"/>
    </row>
    <row r="297" spans="1:106" s="90" customFormat="1" ht="12" hidden="1" customHeight="1">
      <c r="A297" s="239" t="str">
        <f ca="1">график!A41</f>
        <v>11.1</v>
      </c>
      <c r="B297" s="240"/>
      <c r="C297" s="205" t="str">
        <f ca="1">график!B41</f>
        <v>организация создания объектов долевого строительства с привлечением средств дольщиков</v>
      </c>
      <c r="D297" s="205"/>
      <c r="E297" s="205"/>
      <c r="F297" s="205"/>
      <c r="G297" s="205"/>
      <c r="H297" s="205"/>
      <c r="I297" s="205"/>
      <c r="J297" s="205"/>
      <c r="K297" s="205"/>
      <c r="L297" s="205"/>
      <c r="M297" s="205"/>
      <c r="N297" s="205"/>
      <c r="O297" s="205"/>
      <c r="P297" s="205"/>
      <c r="Q297" s="205"/>
      <c r="R297" s="205"/>
      <c r="S297" s="205"/>
      <c r="T297" s="205"/>
      <c r="U297" s="205"/>
      <c r="V297" s="205"/>
      <c r="W297" s="205"/>
      <c r="X297" s="205"/>
      <c r="Y297" s="205"/>
      <c r="Z297" s="205"/>
      <c r="AA297" s="205"/>
      <c r="AB297" s="205"/>
      <c r="AC297" s="205"/>
      <c r="AD297" s="205"/>
      <c r="AE297" s="205"/>
      <c r="AF297" s="205"/>
      <c r="AG297" s="205"/>
      <c r="AH297" s="205"/>
      <c r="AI297" s="205"/>
      <c r="AJ297" s="205"/>
      <c r="AK297" s="205"/>
      <c r="AL297" s="205"/>
      <c r="AM297" s="205"/>
      <c r="AN297" s="205"/>
      <c r="AO297" s="205"/>
      <c r="AP297" s="205"/>
      <c r="AQ297" s="205"/>
      <c r="AR297" s="205"/>
      <c r="AS297" s="205"/>
      <c r="AT297" s="205"/>
      <c r="AU297" s="205"/>
      <c r="AV297" s="205"/>
      <c r="AW297" s="205"/>
      <c r="AX297" s="205"/>
      <c r="AY297" s="205"/>
      <c r="AZ297" s="205"/>
      <c r="BA297" s="251" t="s">
        <v>245</v>
      </c>
      <c r="BB297" s="251"/>
      <c r="BC297" s="251"/>
      <c r="BD297" s="251"/>
      <c r="BE297" s="251"/>
      <c r="BF297" s="251"/>
      <c r="BG297" s="251"/>
      <c r="BH297" s="252"/>
      <c r="BI297" s="117"/>
      <c r="BJ297" s="117"/>
      <c r="BK297" s="117"/>
      <c r="BL297" s="117"/>
      <c r="BM297" s="117"/>
      <c r="BN297" s="117"/>
      <c r="BO297" s="117"/>
      <c r="BP297" s="117"/>
      <c r="BQ297" s="117"/>
      <c r="BR297" s="117"/>
      <c r="BS297" s="117"/>
      <c r="BT297" s="117"/>
      <c r="BU297" s="117"/>
      <c r="BV297" s="117"/>
      <c r="BW297" s="117"/>
      <c r="BX297" s="117"/>
      <c r="BY297" s="117"/>
      <c r="BZ297" s="117"/>
      <c r="CA297" s="117"/>
      <c r="CB297" s="117"/>
      <c r="CC297" s="117"/>
      <c r="CD297" s="117"/>
      <c r="CE297" s="117"/>
      <c r="CF297" s="117"/>
      <c r="CG297" s="117"/>
      <c r="CH297" s="117"/>
      <c r="CI297" s="117"/>
      <c r="CJ297" s="117"/>
      <c r="CK297" s="117"/>
      <c r="CL297" s="117"/>
      <c r="CM297" s="117"/>
      <c r="CN297" s="117"/>
      <c r="CO297" s="117"/>
      <c r="CP297" s="117"/>
      <c r="CQ297" s="117"/>
      <c r="CR297" s="117"/>
      <c r="CS297" s="117"/>
      <c r="CT297" s="117"/>
      <c r="CU297" s="117"/>
      <c r="CV297" s="117"/>
      <c r="CW297" s="117"/>
      <c r="CX297" s="117"/>
      <c r="CY297" s="117"/>
      <c r="CZ297" s="117"/>
      <c r="DA297" s="117"/>
      <c r="DB297" s="118"/>
    </row>
    <row r="298" spans="1:106" s="88" customFormat="1" ht="12" hidden="1" customHeight="1">
      <c r="A298" s="241" t="s">
        <v>253</v>
      </c>
      <c r="B298" s="242"/>
      <c r="C298" s="242"/>
      <c r="D298" s="242"/>
      <c r="E298" s="242"/>
      <c r="F298" s="242"/>
      <c r="G298" s="242"/>
      <c r="H298" s="242"/>
      <c r="I298" s="242"/>
      <c r="J298" s="242"/>
      <c r="K298" s="242"/>
      <c r="L298" s="242"/>
      <c r="M298" s="242"/>
      <c r="N298" s="242"/>
      <c r="O298" s="242"/>
      <c r="P298" s="242"/>
      <c r="Q298" s="242"/>
      <c r="R298" s="242"/>
      <c r="S298" s="242"/>
      <c r="T298" s="242"/>
      <c r="U298" s="242"/>
      <c r="V298" s="242"/>
      <c r="W298" s="243"/>
      <c r="X298" s="446" t="s">
        <v>256</v>
      </c>
      <c r="Y298" s="447"/>
      <c r="Z298" s="447"/>
      <c r="AA298" s="447"/>
      <c r="AB298" s="447"/>
      <c r="AC298" s="447"/>
      <c r="AD298" s="447"/>
      <c r="AE298" s="447"/>
      <c r="AF298" s="447"/>
      <c r="AG298" s="447"/>
      <c r="AH298" s="447"/>
      <c r="AI298" s="447"/>
      <c r="AJ298" s="447"/>
      <c r="AK298" s="447"/>
      <c r="AL298" s="447"/>
      <c r="AM298" s="91" t="s">
        <v>28</v>
      </c>
      <c r="AN298" s="448">
        <f ca="1">BA270+BA245+BA220+BA164+BA113+BA88</f>
        <v>156481.58000000002</v>
      </c>
      <c r="AO298" s="449"/>
      <c r="AP298" s="449"/>
      <c r="AQ298" s="449"/>
      <c r="AR298" s="449"/>
      <c r="AS298" s="449"/>
      <c r="AT298" s="255"/>
      <c r="AU298" s="255"/>
      <c r="AV298" s="91"/>
      <c r="AW298" s="228"/>
      <c r="AX298" s="228"/>
      <c r="AY298" s="228"/>
      <c r="AZ298" s="229"/>
      <c r="BA298" s="230"/>
      <c r="BB298" s="231"/>
      <c r="BC298" s="231"/>
      <c r="BD298" s="231"/>
      <c r="BE298" s="231"/>
      <c r="BF298" s="231"/>
      <c r="BG298" s="231"/>
      <c r="BH298" s="232"/>
      <c r="BI298" s="87"/>
      <c r="BJ298" s="87"/>
      <c r="BK298" s="87"/>
      <c r="BL298" s="87"/>
      <c r="BM298" s="87"/>
      <c r="BN298" s="87"/>
      <c r="BO298" s="87"/>
      <c r="BP298" s="87"/>
      <c r="BQ298" s="87"/>
      <c r="BR298" s="87"/>
      <c r="BS298" s="87"/>
      <c r="BT298" s="87"/>
      <c r="BU298" s="87"/>
      <c r="BV298" s="87"/>
      <c r="BW298" s="87"/>
      <c r="BX298" s="87"/>
      <c r="BY298" s="87"/>
      <c r="BZ298" s="87"/>
      <c r="CA298" s="87"/>
      <c r="CB298" s="87"/>
      <c r="CC298" s="87"/>
      <c r="CD298" s="87"/>
      <c r="CE298" s="87"/>
      <c r="CF298" s="87"/>
      <c r="CG298" s="87"/>
      <c r="CH298" s="87"/>
      <c r="CI298" s="87"/>
      <c r="CJ298" s="87"/>
      <c r="CK298" s="87"/>
      <c r="CL298" s="87"/>
      <c r="CM298" s="87"/>
      <c r="CN298" s="87"/>
      <c r="CO298" s="87"/>
      <c r="CP298" s="87"/>
      <c r="CQ298" s="87"/>
      <c r="CR298" s="87"/>
      <c r="CS298" s="87"/>
      <c r="CT298" s="87"/>
      <c r="CU298" s="87"/>
      <c r="CV298" s="87"/>
      <c r="CW298" s="87"/>
      <c r="CX298" s="87"/>
      <c r="CY298" s="87"/>
      <c r="CZ298" s="87"/>
      <c r="DA298" s="87"/>
      <c r="DB298" s="119"/>
    </row>
    <row r="299" spans="1:106" s="88" customFormat="1" ht="12" hidden="1" customHeight="1">
      <c r="A299" s="306"/>
      <c r="B299" s="307"/>
      <c r="C299" s="307"/>
      <c r="D299" s="307"/>
      <c r="E299" s="307"/>
      <c r="F299" s="307"/>
      <c r="G299" s="307"/>
      <c r="H299" s="307"/>
      <c r="I299" s="307"/>
      <c r="J299" s="307"/>
      <c r="K299" s="307"/>
      <c r="L299" s="307"/>
      <c r="M299" s="307"/>
      <c r="N299" s="307"/>
      <c r="O299" s="307"/>
      <c r="P299" s="307"/>
      <c r="Q299" s="307"/>
      <c r="R299" s="307"/>
      <c r="S299" s="307"/>
      <c r="T299" s="307"/>
      <c r="U299" s="307"/>
      <c r="V299" s="307"/>
      <c r="W299" s="308"/>
      <c r="X299" s="224" t="s">
        <v>257</v>
      </c>
      <c r="Y299" s="225"/>
      <c r="Z299" s="225"/>
      <c r="AA299" s="94" t="s">
        <v>28</v>
      </c>
      <c r="AB299" s="312">
        <v>0.8</v>
      </c>
      <c r="AC299" s="313"/>
      <c r="AD299" s="313"/>
      <c r="AE299" s="313"/>
      <c r="AF299" s="313"/>
      <c r="AG299" s="313"/>
      <c r="AH299" s="313"/>
      <c r="AI299" s="313"/>
      <c r="AJ299" s="313"/>
      <c r="AK299" s="313"/>
      <c r="AL299" s="313"/>
      <c r="AM299" s="313"/>
      <c r="AN299" s="313"/>
      <c r="AO299" s="313"/>
      <c r="AP299" s="313"/>
      <c r="AQ299" s="313"/>
      <c r="AR299" s="313"/>
      <c r="AS299" s="313"/>
      <c r="AT299" s="258"/>
      <c r="AU299" s="258"/>
      <c r="AV299" s="98"/>
      <c r="AW299" s="226"/>
      <c r="AX299" s="226"/>
      <c r="AY299" s="226"/>
      <c r="AZ299" s="227"/>
      <c r="BA299" s="210"/>
      <c r="BB299" s="211"/>
      <c r="BC299" s="211"/>
      <c r="BD299" s="211"/>
      <c r="BE299" s="211"/>
      <c r="BF299" s="212"/>
      <c r="BG299" s="212"/>
      <c r="BH299" s="213"/>
      <c r="BI299" s="87"/>
      <c r="BJ299" s="87"/>
      <c r="BK299" s="87"/>
      <c r="BL299" s="87"/>
      <c r="BM299" s="87"/>
      <c r="BN299" s="87"/>
      <c r="BO299" s="87"/>
      <c r="BP299" s="87"/>
      <c r="BQ299" s="87"/>
      <c r="BR299" s="87"/>
      <c r="BS299" s="87"/>
      <c r="BT299" s="87"/>
      <c r="BU299" s="87"/>
      <c r="BV299" s="87"/>
      <c r="BW299" s="87"/>
      <c r="BX299" s="87"/>
      <c r="BY299" s="87"/>
      <c r="BZ299" s="87"/>
      <c r="CA299" s="87"/>
      <c r="CB299" s="87"/>
      <c r="CC299" s="87"/>
      <c r="CD299" s="87"/>
      <c r="CE299" s="87"/>
      <c r="CF299" s="87"/>
      <c r="CG299" s="87"/>
      <c r="CH299" s="87"/>
      <c r="CI299" s="87"/>
      <c r="CJ299" s="87"/>
      <c r="CK299" s="87"/>
      <c r="CL299" s="87"/>
      <c r="CM299" s="87"/>
      <c r="CN299" s="87"/>
      <c r="CO299" s="87"/>
      <c r="CP299" s="87"/>
      <c r="CQ299" s="87"/>
      <c r="CR299" s="87"/>
      <c r="CS299" s="87"/>
      <c r="CT299" s="87"/>
      <c r="CU299" s="87"/>
      <c r="CV299" s="87"/>
      <c r="CW299" s="87"/>
      <c r="CX299" s="87"/>
      <c r="CY299" s="87"/>
      <c r="CZ299" s="87"/>
      <c r="DA299" s="87"/>
      <c r="DB299" s="119"/>
    </row>
    <row r="300" spans="1:106" s="88" customFormat="1" ht="12" hidden="1" customHeight="1">
      <c r="A300" s="309"/>
      <c r="B300" s="310"/>
      <c r="C300" s="310"/>
      <c r="D300" s="310"/>
      <c r="E300" s="310"/>
      <c r="F300" s="310"/>
      <c r="G300" s="310"/>
      <c r="H300" s="310"/>
      <c r="I300" s="310"/>
      <c r="J300" s="310"/>
      <c r="K300" s="310"/>
      <c r="L300" s="310"/>
      <c r="M300" s="310"/>
      <c r="N300" s="310"/>
      <c r="O300" s="310"/>
      <c r="P300" s="310"/>
      <c r="Q300" s="310"/>
      <c r="R300" s="310"/>
      <c r="S300" s="310"/>
      <c r="T300" s="310"/>
      <c r="U300" s="310"/>
      <c r="V300" s="310"/>
      <c r="W300" s="311"/>
      <c r="X300" s="220" t="s">
        <v>162</v>
      </c>
      <c r="Y300" s="221"/>
      <c r="Z300" s="221"/>
      <c r="AA300" s="97" t="s">
        <v>28</v>
      </c>
      <c r="AB300" s="222" t="str">
        <f ca="1">CONCATENATE(AN298," x ",AB299," = ")</f>
        <v xml:space="preserve">156481,58 x 0,8 = </v>
      </c>
      <c r="AC300" s="222"/>
      <c r="AD300" s="222"/>
      <c r="AE300" s="222"/>
      <c r="AF300" s="222"/>
      <c r="AG300" s="222"/>
      <c r="AH300" s="222"/>
      <c r="AI300" s="222"/>
      <c r="AJ300" s="222"/>
      <c r="AK300" s="222"/>
      <c r="AL300" s="222"/>
      <c r="AM300" s="222"/>
      <c r="AN300" s="222"/>
      <c r="AO300" s="222"/>
      <c r="AP300" s="222"/>
      <c r="AQ300" s="222"/>
      <c r="AR300" s="222"/>
      <c r="AS300" s="222"/>
      <c r="AT300" s="222"/>
      <c r="AU300" s="222"/>
      <c r="AV300" s="222"/>
      <c r="AW300" s="222"/>
      <c r="AX300" s="222"/>
      <c r="AY300" s="222"/>
      <c r="AZ300" s="223"/>
      <c r="BA300" s="268">
        <f ca="1">ROUND(AN298*AB299,2)</f>
        <v>125185.26</v>
      </c>
      <c r="BB300" s="269"/>
      <c r="BC300" s="269"/>
      <c r="BD300" s="269"/>
      <c r="BE300" s="269"/>
      <c r="BF300" s="270" t="s">
        <v>23</v>
      </c>
      <c r="BG300" s="270"/>
      <c r="BH300" s="271"/>
      <c r="BI300" s="87"/>
      <c r="BJ300" s="87"/>
      <c r="BK300" s="87"/>
      <c r="BL300" s="87"/>
      <c r="BM300" s="87"/>
      <c r="BN300" s="87"/>
      <c r="BO300" s="87"/>
      <c r="BP300" s="87"/>
      <c r="BQ300" s="87"/>
      <c r="BR300" s="87"/>
      <c r="BS300" s="87"/>
      <c r="BT300" s="87"/>
      <c r="BU300" s="87"/>
      <c r="BV300" s="87"/>
      <c r="BW300" s="87"/>
      <c r="BX300" s="87"/>
      <c r="BY300" s="87"/>
      <c r="BZ300" s="87"/>
      <c r="CA300" s="87"/>
      <c r="CB300" s="87"/>
      <c r="CC300" s="87"/>
      <c r="CD300" s="87"/>
      <c r="CE300" s="87"/>
      <c r="CF300" s="87"/>
      <c r="CG300" s="87"/>
      <c r="CH300" s="87"/>
      <c r="CI300" s="87"/>
      <c r="CJ300" s="87"/>
      <c r="CK300" s="87"/>
      <c r="CL300" s="87"/>
      <c r="CM300" s="87"/>
      <c r="CN300" s="87"/>
      <c r="CO300" s="87"/>
      <c r="CP300" s="87"/>
      <c r="CQ300" s="87"/>
      <c r="CR300" s="87"/>
      <c r="CS300" s="87"/>
      <c r="CT300" s="87"/>
      <c r="CU300" s="87"/>
      <c r="CV300" s="87"/>
      <c r="CW300" s="87"/>
      <c r="CX300" s="87"/>
      <c r="CY300" s="87"/>
      <c r="CZ300" s="87"/>
      <c r="DA300" s="87"/>
      <c r="DB300" s="119"/>
    </row>
    <row r="301" spans="1:106" ht="12" hidden="1" customHeight="1">
      <c r="A301" s="103" t="s">
        <v>255</v>
      </c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5"/>
      <c r="AL301" s="105"/>
      <c r="AM301" s="105"/>
      <c r="AN301" s="105"/>
      <c r="AO301" s="105"/>
      <c r="AP301" s="105"/>
      <c r="AQ301" s="106"/>
      <c r="AR301" s="107"/>
      <c r="AS301" s="106"/>
      <c r="AT301" s="106"/>
      <c r="AU301" s="106"/>
      <c r="AV301" s="106"/>
      <c r="AW301" s="291"/>
      <c r="AX301" s="291"/>
      <c r="AY301" s="291"/>
      <c r="AZ301" s="156"/>
      <c r="BA301" s="292"/>
      <c r="BB301" s="292"/>
      <c r="BC301" s="292"/>
      <c r="BD301" s="292"/>
      <c r="BE301" s="292"/>
      <c r="BF301" s="157"/>
      <c r="BG301" s="157"/>
      <c r="BH301" s="158"/>
    </row>
    <row r="302" spans="1:106" s="88" customFormat="1" ht="12" hidden="1" customHeight="1">
      <c r="A302" s="264" t="s">
        <v>160</v>
      </c>
      <c r="B302" s="265"/>
      <c r="C302" s="265"/>
      <c r="D302" s="265"/>
      <c r="E302" s="265"/>
      <c r="F302" s="265"/>
      <c r="G302" s="265"/>
      <c r="H302" s="265"/>
      <c r="I302" s="265"/>
      <c r="J302" s="265"/>
      <c r="K302" s="265"/>
      <c r="L302" s="265"/>
      <c r="M302" s="265"/>
      <c r="N302" s="265"/>
      <c r="O302" s="265"/>
      <c r="P302" s="265"/>
      <c r="Q302" s="265"/>
      <c r="R302" s="265"/>
      <c r="S302" s="265"/>
      <c r="T302" s="265"/>
      <c r="U302" s="265"/>
      <c r="V302" s="265"/>
      <c r="W302" s="265"/>
      <c r="X302" s="111"/>
      <c r="Y302" s="111"/>
      <c r="Z302" s="111"/>
      <c r="AA302" s="111"/>
      <c r="AB302" s="114"/>
      <c r="AC302" s="114"/>
      <c r="AD302" s="114"/>
      <c r="AE302" s="114"/>
      <c r="AF302" s="114"/>
      <c r="AG302" s="114"/>
      <c r="AH302" s="114"/>
      <c r="AI302" s="114"/>
      <c r="AJ302" s="114"/>
      <c r="AK302" s="114"/>
      <c r="AL302" s="114"/>
      <c r="AM302" s="114"/>
      <c r="AN302" s="114"/>
      <c r="AO302" s="114"/>
      <c r="AP302" s="114"/>
      <c r="AQ302" s="114"/>
      <c r="AR302" s="114"/>
      <c r="AS302" s="114"/>
      <c r="AT302" s="115"/>
      <c r="AU302" s="115"/>
      <c r="AV302" s="116"/>
      <c r="AW302" s="266" t="s">
        <v>167</v>
      </c>
      <c r="AX302" s="266"/>
      <c r="AY302" s="266"/>
      <c r="AZ302" s="112" t="s">
        <v>28</v>
      </c>
      <c r="BA302" s="260">
        <f ca="1">BA300</f>
        <v>125185.26</v>
      </c>
      <c r="BB302" s="260"/>
      <c r="BC302" s="260"/>
      <c r="BD302" s="260"/>
      <c r="BE302" s="260"/>
      <c r="BF302" s="261" t="s">
        <v>23</v>
      </c>
      <c r="BG302" s="261"/>
      <c r="BH302" s="262"/>
      <c r="BI302" s="87"/>
      <c r="BJ302" s="87"/>
      <c r="BK302" s="87"/>
      <c r="BL302" s="87"/>
      <c r="BM302" s="87"/>
      <c r="BN302" s="87"/>
      <c r="BO302" s="87"/>
      <c r="BP302" s="87"/>
      <c r="BQ302" s="87"/>
      <c r="BR302" s="87"/>
      <c r="BS302" s="87"/>
      <c r="BT302" s="87"/>
      <c r="BU302" s="87"/>
      <c r="BV302" s="87"/>
      <c r="BW302" s="87"/>
      <c r="BX302" s="87"/>
      <c r="BY302" s="87"/>
      <c r="BZ302" s="87"/>
      <c r="CA302" s="87"/>
      <c r="CB302" s="87"/>
      <c r="CC302" s="87"/>
      <c r="CD302" s="87"/>
      <c r="CE302" s="87"/>
      <c r="CF302" s="87"/>
      <c r="CG302" s="87"/>
      <c r="CH302" s="87"/>
      <c r="CI302" s="87"/>
      <c r="CJ302" s="87"/>
      <c r="CK302" s="87"/>
      <c r="CL302" s="87"/>
      <c r="CM302" s="87"/>
      <c r="CN302" s="87"/>
      <c r="CO302" s="87"/>
      <c r="CP302" s="87"/>
      <c r="CQ302" s="87"/>
      <c r="CR302" s="87"/>
      <c r="CS302" s="87"/>
      <c r="CT302" s="87"/>
      <c r="CU302" s="87"/>
      <c r="CV302" s="87"/>
      <c r="CW302" s="87"/>
      <c r="CX302" s="87"/>
      <c r="CY302" s="87"/>
      <c r="CZ302" s="87"/>
      <c r="DA302" s="87"/>
      <c r="DB302" s="119"/>
    </row>
    <row r="303" spans="1:106" s="89" customFormat="1" ht="12" customHeight="1">
      <c r="A303" s="440" t="s">
        <v>254</v>
      </c>
      <c r="B303" s="441"/>
      <c r="C303" s="441"/>
      <c r="D303" s="441"/>
      <c r="E303" s="441"/>
      <c r="F303" s="441"/>
      <c r="G303" s="441"/>
      <c r="H303" s="441"/>
      <c r="I303" s="441"/>
      <c r="J303" s="441"/>
      <c r="K303" s="441"/>
      <c r="L303" s="441"/>
      <c r="M303" s="441"/>
      <c r="N303" s="441"/>
      <c r="O303" s="441"/>
      <c r="P303" s="441"/>
      <c r="Q303" s="441"/>
      <c r="R303" s="441"/>
      <c r="S303" s="441"/>
      <c r="T303" s="441"/>
      <c r="U303" s="441"/>
      <c r="V303" s="441"/>
      <c r="W303" s="441"/>
      <c r="X303" s="441"/>
      <c r="Y303" s="441"/>
      <c r="Z303" s="441"/>
      <c r="AA303" s="441"/>
      <c r="AB303" s="441"/>
      <c r="AC303" s="441"/>
      <c r="AD303" s="441"/>
      <c r="AE303" s="441"/>
      <c r="AF303" s="441"/>
      <c r="AG303" s="441"/>
      <c r="AH303" s="441"/>
      <c r="AI303" s="441"/>
      <c r="AJ303" s="160"/>
      <c r="AK303" s="442" t="s">
        <v>22</v>
      </c>
      <c r="AL303" s="442"/>
      <c r="AM303" s="442"/>
      <c r="AN303" s="161" t="s">
        <v>28</v>
      </c>
      <c r="AO303" s="443">
        <f>BA301+BA294+BA269+BA244+BA219+BA194+BA163+BA112+BA87+BA76+BA49</f>
        <v>550.19999999999993</v>
      </c>
      <c r="AP303" s="443"/>
      <c r="AQ303" s="443"/>
      <c r="AR303" s="443"/>
      <c r="AS303" s="443"/>
      <c r="AT303" s="162" t="s">
        <v>163</v>
      </c>
      <c r="AU303" s="162"/>
      <c r="AV303" s="163"/>
      <c r="AW303" s="442" t="s">
        <v>167</v>
      </c>
      <c r="AX303" s="442"/>
      <c r="AY303" s="442"/>
      <c r="AZ303" s="161" t="s">
        <v>28</v>
      </c>
      <c r="BA303" s="443">
        <f ca="1">BA295+BA270+BA245+BA220+BA195+BA164+BA113+BA88+BA77+BA50-BA169</f>
        <v>186293.03000000003</v>
      </c>
      <c r="BB303" s="443"/>
      <c r="BC303" s="443"/>
      <c r="BD303" s="443"/>
      <c r="BE303" s="443"/>
      <c r="BF303" s="444" t="s">
        <v>23</v>
      </c>
      <c r="BG303" s="444"/>
      <c r="BH303" s="445"/>
      <c r="BI303" s="87"/>
      <c r="BJ303" s="87"/>
      <c r="BK303" s="435">
        <f>D255*2500</f>
        <v>8275000</v>
      </c>
      <c r="BL303" s="435"/>
      <c r="BM303" s="87"/>
      <c r="BN303" s="87"/>
      <c r="BO303" s="87"/>
      <c r="BP303" s="87"/>
      <c r="BQ303" s="87"/>
      <c r="BR303" s="87"/>
      <c r="BS303" s="87"/>
      <c r="BT303" s="87"/>
      <c r="BU303" s="87"/>
      <c r="BV303" s="87"/>
      <c r="BW303" s="87"/>
      <c r="BX303" s="87"/>
      <c r="BY303" s="87"/>
      <c r="BZ303" s="87"/>
      <c r="CA303" s="87"/>
      <c r="CB303" s="87"/>
      <c r="CC303" s="87"/>
      <c r="CD303" s="87"/>
      <c r="CE303" s="87"/>
      <c r="CF303" s="87"/>
      <c r="CG303" s="87"/>
      <c r="CH303" s="87"/>
      <c r="CI303" s="87"/>
      <c r="CJ303" s="87"/>
      <c r="CK303" s="87"/>
      <c r="CL303" s="87"/>
      <c r="CM303" s="87"/>
      <c r="CN303" s="87"/>
      <c r="CO303" s="87"/>
      <c r="CP303" s="87"/>
      <c r="CQ303" s="87"/>
      <c r="CR303" s="87"/>
      <c r="CS303" s="87"/>
      <c r="CT303" s="87"/>
      <c r="CU303" s="87"/>
      <c r="CV303" s="87"/>
      <c r="CW303" s="87"/>
      <c r="CX303" s="87"/>
      <c r="CY303" s="87"/>
      <c r="CZ303" s="87"/>
      <c r="DA303" s="87"/>
      <c r="DB303" s="119"/>
    </row>
    <row r="304" spans="1:106" s="159" customFormat="1" ht="12" customHeight="1">
      <c r="A304" s="440" t="s">
        <v>247</v>
      </c>
      <c r="B304" s="441"/>
      <c r="C304" s="441"/>
      <c r="D304" s="441"/>
      <c r="E304" s="441"/>
      <c r="F304" s="441"/>
      <c r="G304" s="441"/>
      <c r="H304" s="441"/>
      <c r="I304" s="441"/>
      <c r="J304" s="441"/>
      <c r="K304" s="441"/>
      <c r="L304" s="441"/>
      <c r="M304" s="441"/>
      <c r="N304" s="441"/>
      <c r="O304" s="441"/>
      <c r="P304" s="441"/>
      <c r="Q304" s="441"/>
      <c r="R304" s="441"/>
      <c r="S304" s="441"/>
      <c r="T304" s="441"/>
      <c r="U304" s="441"/>
      <c r="V304" s="441"/>
      <c r="W304" s="441"/>
      <c r="X304" s="441"/>
      <c r="Y304" s="441"/>
      <c r="Z304" s="441"/>
      <c r="AA304" s="441"/>
      <c r="AB304" s="441"/>
      <c r="AC304" s="441"/>
      <c r="AD304" s="441"/>
      <c r="AE304" s="441"/>
      <c r="AF304" s="441"/>
      <c r="AG304" s="441"/>
      <c r="AH304" s="441"/>
      <c r="AI304" s="441"/>
      <c r="AJ304" s="160"/>
      <c r="AK304" s="442" t="s">
        <v>22</v>
      </c>
      <c r="AL304" s="442"/>
      <c r="AM304" s="442"/>
      <c r="AN304" s="161" t="s">
        <v>28</v>
      </c>
      <c r="AO304" s="443">
        <f>BA39</f>
        <v>6.3</v>
      </c>
      <c r="AP304" s="443"/>
      <c r="AQ304" s="443"/>
      <c r="AR304" s="443"/>
      <c r="AS304" s="443"/>
      <c r="AT304" s="162" t="s">
        <v>163</v>
      </c>
      <c r="AU304" s="162"/>
      <c r="AV304" s="163"/>
      <c r="AW304" s="442" t="s">
        <v>167</v>
      </c>
      <c r="AX304" s="442"/>
      <c r="AY304" s="442"/>
      <c r="AZ304" s="161" t="s">
        <v>28</v>
      </c>
      <c r="BA304" s="443">
        <f ca="1">BA40</f>
        <v>1988.52</v>
      </c>
      <c r="BB304" s="443"/>
      <c r="BC304" s="443"/>
      <c r="BD304" s="443"/>
      <c r="BE304" s="443"/>
      <c r="BF304" s="444" t="s">
        <v>23</v>
      </c>
      <c r="BG304" s="444"/>
      <c r="BH304" s="445"/>
      <c r="BI304" s="87"/>
      <c r="BJ304" s="87"/>
      <c r="BK304" s="435">
        <f>D255*2500</f>
        <v>8275000</v>
      </c>
      <c r="BL304" s="435"/>
      <c r="BM304" s="87"/>
      <c r="BN304" s="87"/>
      <c r="BO304" s="87"/>
      <c r="BP304" s="87"/>
      <c r="BQ304" s="87"/>
      <c r="BR304" s="87"/>
      <c r="BS304" s="87"/>
      <c r="BT304" s="87"/>
      <c r="BU304" s="87"/>
      <c r="BV304" s="87"/>
      <c r="BW304" s="87"/>
      <c r="BX304" s="87"/>
      <c r="BY304" s="87"/>
      <c r="BZ304" s="87"/>
      <c r="CA304" s="87"/>
      <c r="CB304" s="87"/>
      <c r="CC304" s="87"/>
      <c r="CD304" s="87"/>
      <c r="CE304" s="87"/>
      <c r="CF304" s="87"/>
      <c r="CG304" s="87"/>
      <c r="CH304" s="87"/>
      <c r="CI304" s="87"/>
      <c r="CJ304" s="87"/>
      <c r="CK304" s="87"/>
      <c r="CL304" s="87"/>
      <c r="CM304" s="87"/>
      <c r="CN304" s="87"/>
      <c r="CO304" s="87"/>
      <c r="CP304" s="87"/>
      <c r="CQ304" s="87"/>
      <c r="CR304" s="87"/>
      <c r="CS304" s="87"/>
      <c r="CT304" s="87"/>
      <c r="CU304" s="87"/>
      <c r="CV304" s="87"/>
      <c r="CW304" s="87"/>
      <c r="CX304" s="87"/>
      <c r="CY304" s="87"/>
      <c r="CZ304" s="87"/>
      <c r="DA304" s="87"/>
      <c r="DB304" s="119"/>
    </row>
    <row r="305" spans="1:106" s="159" customFormat="1" ht="12" customHeight="1">
      <c r="A305" s="440" t="s">
        <v>248</v>
      </c>
      <c r="B305" s="441"/>
      <c r="C305" s="441"/>
      <c r="D305" s="441"/>
      <c r="E305" s="441"/>
      <c r="F305" s="441"/>
      <c r="G305" s="441"/>
      <c r="H305" s="441"/>
      <c r="I305" s="441"/>
      <c r="J305" s="441"/>
      <c r="K305" s="441"/>
      <c r="L305" s="441"/>
      <c r="M305" s="441"/>
      <c r="N305" s="441"/>
      <c r="O305" s="441"/>
      <c r="P305" s="441"/>
      <c r="Q305" s="441"/>
      <c r="R305" s="441"/>
      <c r="S305" s="441"/>
      <c r="T305" s="441"/>
      <c r="U305" s="441"/>
      <c r="V305" s="441"/>
      <c r="W305" s="441"/>
      <c r="X305" s="441"/>
      <c r="Y305" s="441"/>
      <c r="Z305" s="441"/>
      <c r="AA305" s="441"/>
      <c r="AB305" s="441"/>
      <c r="AC305" s="441"/>
      <c r="AD305" s="441"/>
      <c r="AE305" s="441"/>
      <c r="AF305" s="441"/>
      <c r="AG305" s="441"/>
      <c r="AH305" s="441"/>
      <c r="AI305" s="441"/>
      <c r="AJ305" s="160"/>
      <c r="AK305" s="442" t="s">
        <v>22</v>
      </c>
      <c r="AL305" s="442"/>
      <c r="AM305" s="442"/>
      <c r="AN305" s="161" t="s">
        <v>28</v>
      </c>
      <c r="AO305" s="443">
        <f>BA76</f>
        <v>23.53</v>
      </c>
      <c r="AP305" s="443"/>
      <c r="AQ305" s="443"/>
      <c r="AR305" s="443"/>
      <c r="AS305" s="443"/>
      <c r="AT305" s="162" t="s">
        <v>163</v>
      </c>
      <c r="AU305" s="162"/>
      <c r="AV305" s="163"/>
      <c r="AW305" s="442" t="s">
        <v>167</v>
      </c>
      <c r="AX305" s="442"/>
      <c r="AY305" s="442"/>
      <c r="AZ305" s="161" t="s">
        <v>28</v>
      </c>
      <c r="BA305" s="443">
        <f ca="1">BA77</f>
        <v>7470.92</v>
      </c>
      <c r="BB305" s="443"/>
      <c r="BC305" s="443"/>
      <c r="BD305" s="443"/>
      <c r="BE305" s="443"/>
      <c r="BF305" s="444" t="s">
        <v>23</v>
      </c>
      <c r="BG305" s="444"/>
      <c r="BH305" s="445"/>
      <c r="BI305" s="87"/>
      <c r="BJ305" s="87"/>
      <c r="BK305" s="435">
        <f>D256*2500</f>
        <v>0</v>
      </c>
      <c r="BL305" s="435"/>
      <c r="BM305" s="87"/>
      <c r="BN305" s="87"/>
      <c r="BO305" s="87"/>
      <c r="BP305" s="87"/>
      <c r="BQ305" s="87"/>
      <c r="BR305" s="87"/>
      <c r="BS305" s="87"/>
      <c r="BT305" s="87"/>
      <c r="BU305" s="87"/>
      <c r="BV305" s="87"/>
      <c r="BW305" s="87"/>
      <c r="BX305" s="87"/>
      <c r="BY305" s="87"/>
      <c r="BZ305" s="87"/>
      <c r="CA305" s="87"/>
      <c r="CB305" s="87"/>
      <c r="CC305" s="87"/>
      <c r="CD305" s="87"/>
      <c r="CE305" s="87"/>
      <c r="CF305" s="87"/>
      <c r="CG305" s="87"/>
      <c r="CH305" s="87"/>
      <c r="CI305" s="87"/>
      <c r="CJ305" s="87"/>
      <c r="CK305" s="87"/>
      <c r="CL305" s="87"/>
      <c r="CM305" s="87"/>
      <c r="CN305" s="87"/>
      <c r="CO305" s="87"/>
      <c r="CP305" s="87"/>
      <c r="CQ305" s="87"/>
      <c r="CR305" s="87"/>
      <c r="CS305" s="87"/>
      <c r="CT305" s="87"/>
      <c r="CU305" s="87"/>
      <c r="CV305" s="87"/>
      <c r="CW305" s="87"/>
      <c r="CX305" s="87"/>
      <c r="CY305" s="87"/>
      <c r="CZ305" s="87"/>
      <c r="DA305" s="87"/>
      <c r="DB305" s="119"/>
    </row>
    <row r="306" spans="1:106" s="159" customFormat="1" ht="12" customHeight="1">
      <c r="A306" s="440" t="s">
        <v>250</v>
      </c>
      <c r="B306" s="441"/>
      <c r="C306" s="441"/>
      <c r="D306" s="441"/>
      <c r="E306" s="441"/>
      <c r="F306" s="441"/>
      <c r="G306" s="441"/>
      <c r="H306" s="441"/>
      <c r="I306" s="441"/>
      <c r="J306" s="441"/>
      <c r="K306" s="441"/>
      <c r="L306" s="441"/>
      <c r="M306" s="441"/>
      <c r="N306" s="441"/>
      <c r="O306" s="441"/>
      <c r="P306" s="441"/>
      <c r="Q306" s="441"/>
      <c r="R306" s="441"/>
      <c r="S306" s="441"/>
      <c r="T306" s="441"/>
      <c r="U306" s="441"/>
      <c r="V306" s="441"/>
      <c r="W306" s="441"/>
      <c r="X306" s="441"/>
      <c r="Y306" s="441"/>
      <c r="Z306" s="441"/>
      <c r="AA306" s="441"/>
      <c r="AB306" s="441"/>
      <c r="AC306" s="441"/>
      <c r="AD306" s="441"/>
      <c r="AE306" s="441"/>
      <c r="AF306" s="441"/>
      <c r="AG306" s="441"/>
      <c r="AH306" s="441"/>
      <c r="AI306" s="441"/>
      <c r="AJ306" s="160"/>
      <c r="AK306" s="442" t="s">
        <v>22</v>
      </c>
      <c r="AL306" s="442"/>
      <c r="AM306" s="442"/>
      <c r="AN306" s="161" t="s">
        <v>28</v>
      </c>
      <c r="AO306" s="443">
        <f>BJ174</f>
        <v>12.6</v>
      </c>
      <c r="AP306" s="443"/>
      <c r="AQ306" s="443"/>
      <c r="AR306" s="443"/>
      <c r="AS306" s="443"/>
      <c r="AT306" s="162" t="s">
        <v>163</v>
      </c>
      <c r="AU306" s="162"/>
      <c r="AV306" s="163"/>
      <c r="AW306" s="442" t="s">
        <v>167</v>
      </c>
      <c r="AX306" s="442"/>
      <c r="AY306" s="442"/>
      <c r="AZ306" s="161" t="s">
        <v>28</v>
      </c>
      <c r="BA306" s="443">
        <f ca="1">BA175</f>
        <v>4236.3999999999996</v>
      </c>
      <c r="BB306" s="443"/>
      <c r="BC306" s="443"/>
      <c r="BD306" s="443"/>
      <c r="BE306" s="443"/>
      <c r="BF306" s="444" t="s">
        <v>23</v>
      </c>
      <c r="BG306" s="444"/>
      <c r="BH306" s="445"/>
      <c r="BI306" s="87"/>
      <c r="BJ306" s="87"/>
      <c r="BK306" s="435">
        <f>D258*2500</f>
        <v>0</v>
      </c>
      <c r="BL306" s="435"/>
      <c r="BM306" s="87"/>
      <c r="BN306" s="87"/>
      <c r="BO306" s="87"/>
      <c r="BP306" s="87"/>
      <c r="BQ306" s="87"/>
      <c r="BR306" s="87"/>
      <c r="BS306" s="87"/>
      <c r="BT306" s="87"/>
      <c r="BU306" s="87"/>
      <c r="BV306" s="87"/>
      <c r="BW306" s="87"/>
      <c r="BX306" s="87"/>
      <c r="BY306" s="87"/>
      <c r="BZ306" s="87"/>
      <c r="CA306" s="87"/>
      <c r="CB306" s="87"/>
      <c r="CC306" s="87"/>
      <c r="CD306" s="87"/>
      <c r="CE306" s="87"/>
      <c r="CF306" s="87"/>
      <c r="CG306" s="87"/>
      <c r="CH306" s="87"/>
      <c r="CI306" s="87"/>
      <c r="CJ306" s="87"/>
      <c r="CK306" s="87"/>
      <c r="CL306" s="87"/>
      <c r="CM306" s="87"/>
      <c r="CN306" s="87"/>
      <c r="CO306" s="87"/>
      <c r="CP306" s="87"/>
      <c r="CQ306" s="87"/>
      <c r="CR306" s="87"/>
      <c r="CS306" s="87"/>
      <c r="CT306" s="87"/>
      <c r="CU306" s="87"/>
      <c r="CV306" s="87"/>
      <c r="CW306" s="87"/>
      <c r="CX306" s="87"/>
      <c r="CY306" s="87"/>
      <c r="CZ306" s="87"/>
      <c r="DA306" s="87"/>
      <c r="DB306" s="119"/>
    </row>
    <row r="307" spans="1:106" s="159" customFormat="1" ht="12" customHeight="1">
      <c r="A307" s="440" t="s">
        <v>251</v>
      </c>
      <c r="B307" s="441"/>
      <c r="C307" s="441"/>
      <c r="D307" s="441"/>
      <c r="E307" s="441"/>
      <c r="F307" s="441"/>
      <c r="G307" s="441"/>
      <c r="H307" s="441"/>
      <c r="I307" s="441"/>
      <c r="J307" s="441"/>
      <c r="K307" s="441"/>
      <c r="L307" s="441"/>
      <c r="M307" s="441"/>
      <c r="N307" s="441"/>
      <c r="O307" s="441"/>
      <c r="P307" s="441"/>
      <c r="Q307" s="441"/>
      <c r="R307" s="441"/>
      <c r="S307" s="441"/>
      <c r="T307" s="441"/>
      <c r="U307" s="441"/>
      <c r="V307" s="441"/>
      <c r="W307" s="441"/>
      <c r="X307" s="441"/>
      <c r="Y307" s="441"/>
      <c r="Z307" s="441"/>
      <c r="AA307" s="441"/>
      <c r="AB307" s="441"/>
      <c r="AC307" s="441"/>
      <c r="AD307" s="441"/>
      <c r="AE307" s="441"/>
      <c r="AF307" s="441"/>
      <c r="AG307" s="441"/>
      <c r="AH307" s="441"/>
      <c r="AI307" s="441"/>
      <c r="AJ307" s="160"/>
      <c r="AK307" s="442" t="s">
        <v>22</v>
      </c>
      <c r="AL307" s="442"/>
      <c r="AM307" s="442"/>
      <c r="AN307" s="161" t="s">
        <v>28</v>
      </c>
      <c r="AO307" s="443">
        <f>BA186</f>
        <v>0</v>
      </c>
      <c r="AP307" s="443"/>
      <c r="AQ307" s="443"/>
      <c r="AR307" s="443"/>
      <c r="AS307" s="443"/>
      <c r="AT307" s="162" t="s">
        <v>163</v>
      </c>
      <c r="AU307" s="162"/>
      <c r="AV307" s="163"/>
      <c r="AW307" s="442" t="s">
        <v>167</v>
      </c>
      <c r="AX307" s="442"/>
      <c r="AY307" s="442"/>
      <c r="AZ307" s="161" t="s">
        <v>28</v>
      </c>
      <c r="BA307" s="443">
        <f>BA187</f>
        <v>0</v>
      </c>
      <c r="BB307" s="443"/>
      <c r="BC307" s="443"/>
      <c r="BD307" s="443"/>
      <c r="BE307" s="443"/>
      <c r="BF307" s="444" t="s">
        <v>23</v>
      </c>
      <c r="BG307" s="444"/>
      <c r="BH307" s="445"/>
      <c r="BI307" s="87"/>
      <c r="BJ307" s="87"/>
      <c r="BK307" s="435">
        <f>D259*2500</f>
        <v>0</v>
      </c>
      <c r="BL307" s="435"/>
      <c r="BM307" s="87"/>
      <c r="BN307" s="87"/>
      <c r="BO307" s="87"/>
      <c r="BP307" s="87"/>
      <c r="BQ307" s="87"/>
      <c r="BR307" s="87"/>
      <c r="BS307" s="87"/>
      <c r="BT307" s="87"/>
      <c r="BU307" s="87"/>
      <c r="BV307" s="87"/>
      <c r="BW307" s="87"/>
      <c r="BX307" s="87"/>
      <c r="BY307" s="87"/>
      <c r="BZ307" s="87"/>
      <c r="CA307" s="87"/>
      <c r="CB307" s="87"/>
      <c r="CC307" s="87"/>
      <c r="CD307" s="87"/>
      <c r="CE307" s="87"/>
      <c r="CF307" s="87"/>
      <c r="CG307" s="87"/>
      <c r="CH307" s="87"/>
      <c r="CI307" s="87"/>
      <c r="CJ307" s="87"/>
      <c r="CK307" s="87"/>
      <c r="CL307" s="87"/>
      <c r="CM307" s="87"/>
      <c r="CN307" s="87"/>
      <c r="CO307" s="87"/>
      <c r="CP307" s="87"/>
      <c r="CQ307" s="87"/>
      <c r="CR307" s="87"/>
      <c r="CS307" s="87"/>
      <c r="CT307" s="87"/>
      <c r="CU307" s="87"/>
      <c r="CV307" s="87"/>
      <c r="CW307" s="87"/>
      <c r="CX307" s="87"/>
      <c r="CY307" s="87"/>
      <c r="CZ307" s="87"/>
      <c r="DA307" s="87"/>
      <c r="DB307" s="119"/>
    </row>
    <row r="308" spans="1:106" s="159" customFormat="1" ht="12" customHeight="1">
      <c r="A308" s="440" t="s">
        <v>252</v>
      </c>
      <c r="B308" s="441"/>
      <c r="C308" s="441"/>
      <c r="D308" s="441"/>
      <c r="E308" s="441"/>
      <c r="F308" s="441"/>
      <c r="G308" s="441"/>
      <c r="H308" s="441"/>
      <c r="I308" s="441"/>
      <c r="J308" s="441"/>
      <c r="K308" s="441"/>
      <c r="L308" s="441"/>
      <c r="M308" s="441"/>
      <c r="N308" s="441"/>
      <c r="O308" s="441"/>
      <c r="P308" s="441"/>
      <c r="Q308" s="441"/>
      <c r="R308" s="441"/>
      <c r="S308" s="441"/>
      <c r="T308" s="441"/>
      <c r="U308" s="441"/>
      <c r="V308" s="441"/>
      <c r="W308" s="441"/>
      <c r="X308" s="441"/>
      <c r="Y308" s="441"/>
      <c r="Z308" s="441"/>
      <c r="AA308" s="441"/>
      <c r="AB308" s="441"/>
      <c r="AC308" s="441"/>
      <c r="AD308" s="441"/>
      <c r="AE308" s="441"/>
      <c r="AF308" s="441"/>
      <c r="AG308" s="441"/>
      <c r="AH308" s="441"/>
      <c r="AI308" s="441"/>
      <c r="AJ308" s="160"/>
      <c r="AK308" s="442" t="s">
        <v>22</v>
      </c>
      <c r="AL308" s="442"/>
      <c r="AM308" s="442"/>
      <c r="AN308" s="161" t="s">
        <v>28</v>
      </c>
      <c r="AO308" s="443">
        <f>BJ192</f>
        <v>5</v>
      </c>
      <c r="AP308" s="443"/>
      <c r="AQ308" s="443"/>
      <c r="AR308" s="443"/>
      <c r="AS308" s="443"/>
      <c r="AT308" s="162" t="s">
        <v>163</v>
      </c>
      <c r="AU308" s="162"/>
      <c r="AV308" s="163"/>
      <c r="AW308" s="442" t="s">
        <v>167</v>
      </c>
      <c r="AX308" s="442"/>
      <c r="AY308" s="442"/>
      <c r="AZ308" s="161" t="s">
        <v>28</v>
      </c>
      <c r="BA308" s="443">
        <f ca="1">BA193</f>
        <v>1752.74</v>
      </c>
      <c r="BB308" s="443"/>
      <c r="BC308" s="443"/>
      <c r="BD308" s="443"/>
      <c r="BE308" s="443"/>
      <c r="BF308" s="444" t="s">
        <v>23</v>
      </c>
      <c r="BG308" s="444"/>
      <c r="BH308" s="445"/>
      <c r="BI308" s="87"/>
      <c r="BJ308" s="87"/>
      <c r="BK308" s="435">
        <f>D260*2500</f>
        <v>0</v>
      </c>
      <c r="BL308" s="435"/>
      <c r="BM308" s="87"/>
      <c r="BN308" s="87"/>
      <c r="BO308" s="87"/>
      <c r="BP308" s="87"/>
      <c r="BQ308" s="87"/>
      <c r="BR308" s="87"/>
      <c r="BS308" s="87"/>
      <c r="BT308" s="87"/>
      <c r="BU308" s="87"/>
      <c r="BV308" s="87"/>
      <c r="BW308" s="87"/>
      <c r="BX308" s="87"/>
      <c r="BY308" s="87"/>
      <c r="BZ308" s="87"/>
      <c r="CA308" s="87"/>
      <c r="CB308" s="87"/>
      <c r="CC308" s="87"/>
      <c r="CD308" s="87"/>
      <c r="CE308" s="87"/>
      <c r="CF308" s="87"/>
      <c r="CG308" s="87"/>
      <c r="CH308" s="87"/>
      <c r="CI308" s="87"/>
      <c r="CJ308" s="87"/>
      <c r="CK308" s="87"/>
      <c r="CL308" s="87"/>
      <c r="CM308" s="87"/>
      <c r="CN308" s="87"/>
      <c r="CO308" s="87"/>
      <c r="CP308" s="87"/>
      <c r="CQ308" s="87"/>
      <c r="CR308" s="87"/>
      <c r="CS308" s="87"/>
      <c r="CT308" s="87"/>
      <c r="CU308" s="87"/>
      <c r="CV308" s="87"/>
      <c r="CW308" s="87"/>
      <c r="CX308" s="87"/>
      <c r="CY308" s="87"/>
      <c r="CZ308" s="87"/>
      <c r="DA308" s="87"/>
      <c r="DB308" s="119"/>
    </row>
    <row r="309" spans="1:106" s="159" customFormat="1" ht="12" customHeight="1">
      <c r="A309" s="433" t="s">
        <v>249</v>
      </c>
      <c r="B309" s="434"/>
      <c r="C309" s="434"/>
      <c r="D309" s="434"/>
      <c r="E309" s="434"/>
      <c r="F309" s="434"/>
      <c r="G309" s="434"/>
      <c r="H309" s="434"/>
      <c r="I309" s="434"/>
      <c r="J309" s="434"/>
      <c r="K309" s="434"/>
      <c r="L309" s="434"/>
      <c r="M309" s="434"/>
      <c r="N309" s="434"/>
      <c r="O309" s="434"/>
      <c r="P309" s="434"/>
      <c r="Q309" s="434"/>
      <c r="R309" s="434"/>
      <c r="S309" s="434"/>
      <c r="T309" s="434"/>
      <c r="U309" s="434"/>
      <c r="V309" s="434"/>
      <c r="W309" s="434"/>
      <c r="X309" s="434"/>
      <c r="Y309" s="434"/>
      <c r="Z309" s="434"/>
      <c r="AA309" s="434"/>
      <c r="AB309" s="434"/>
      <c r="AC309" s="434"/>
      <c r="AD309" s="434"/>
      <c r="AE309" s="434"/>
      <c r="AF309" s="434"/>
      <c r="AG309" s="434"/>
      <c r="AH309" s="434"/>
      <c r="AI309" s="434"/>
      <c r="AJ309" s="164"/>
      <c r="AK309" s="436" t="s">
        <v>22</v>
      </c>
      <c r="AL309" s="436"/>
      <c r="AM309" s="436"/>
      <c r="AN309" s="165" t="s">
        <v>28</v>
      </c>
      <c r="AO309" s="437">
        <f>AO303-AO304-AO305-AO306-AO307-AO308</f>
        <v>502.77</v>
      </c>
      <c r="AP309" s="437"/>
      <c r="AQ309" s="437"/>
      <c r="AR309" s="437"/>
      <c r="AS309" s="437"/>
      <c r="AT309" s="166" t="s">
        <v>163</v>
      </c>
      <c r="AU309" s="166"/>
      <c r="AV309" s="167"/>
      <c r="AW309" s="436" t="s">
        <v>167</v>
      </c>
      <c r="AX309" s="436"/>
      <c r="AY309" s="436"/>
      <c r="AZ309" s="165" t="s">
        <v>28</v>
      </c>
      <c r="BA309" s="437">
        <f ca="1">BA303-BA304-BA305-BA306-BA307-BA308</f>
        <v>170844.45000000004</v>
      </c>
      <c r="BB309" s="437"/>
      <c r="BC309" s="437"/>
      <c r="BD309" s="437"/>
      <c r="BE309" s="437"/>
      <c r="BF309" s="438" t="s">
        <v>23</v>
      </c>
      <c r="BG309" s="438"/>
      <c r="BH309" s="439"/>
      <c r="BI309" s="87"/>
      <c r="BJ309" s="87"/>
      <c r="BK309" s="435">
        <f>D257*2500</f>
        <v>0</v>
      </c>
      <c r="BL309" s="435"/>
      <c r="BM309" s="87"/>
      <c r="BN309" s="87"/>
      <c r="BO309" s="87"/>
      <c r="BP309" s="87"/>
      <c r="BQ309" s="87"/>
      <c r="BR309" s="87"/>
      <c r="BS309" s="87"/>
      <c r="BT309" s="87"/>
      <c r="BU309" s="87"/>
      <c r="BV309" s="87"/>
      <c r="BW309" s="87"/>
      <c r="BX309" s="87"/>
      <c r="BY309" s="87"/>
      <c r="BZ309" s="87"/>
      <c r="CA309" s="87"/>
      <c r="CB309" s="87"/>
      <c r="CC309" s="87"/>
      <c r="CD309" s="87"/>
      <c r="CE309" s="87"/>
      <c r="CF309" s="87"/>
      <c r="CG309" s="87"/>
      <c r="CH309" s="87"/>
      <c r="CI309" s="87"/>
      <c r="CJ309" s="87"/>
      <c r="CK309" s="87"/>
      <c r="CL309" s="87"/>
      <c r="CM309" s="87"/>
      <c r="CN309" s="87"/>
      <c r="CO309" s="87"/>
      <c r="CP309" s="87"/>
      <c r="CQ309" s="87"/>
      <c r="CR309" s="87"/>
      <c r="CS309" s="87"/>
      <c r="CT309" s="87"/>
      <c r="CU309" s="87"/>
      <c r="CV309" s="87"/>
      <c r="CW309" s="87"/>
      <c r="CX309" s="87"/>
      <c r="CY309" s="87"/>
      <c r="CZ309" s="87"/>
      <c r="DA309" s="87"/>
      <c r="DB309" s="119"/>
    </row>
    <row r="310" spans="1:106" s="87" customFormat="1" ht="12" customHeight="1">
      <c r="A310" s="150"/>
      <c r="B310" s="102"/>
      <c r="C310" s="98"/>
      <c r="D310" s="132"/>
      <c r="E310" s="132"/>
      <c r="F310" s="132"/>
      <c r="G310" s="132"/>
      <c r="H310" s="132"/>
      <c r="I310" s="92"/>
      <c r="J310" s="92"/>
      <c r="K310" s="92"/>
      <c r="L310" s="92"/>
      <c r="M310" s="92"/>
      <c r="N310" s="92"/>
      <c r="O310" s="92"/>
      <c r="P310" s="92"/>
      <c r="Q310" s="92"/>
      <c r="R310" s="102"/>
      <c r="S310" s="102"/>
      <c r="T310" s="98"/>
      <c r="U310" s="133"/>
      <c r="V310" s="134"/>
      <c r="W310" s="134"/>
      <c r="X310" s="95"/>
      <c r="Y310" s="95"/>
      <c r="Z310" s="95"/>
      <c r="AA310" s="94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  <c r="AO310" s="96"/>
      <c r="AP310" s="96"/>
      <c r="AQ310" s="96"/>
      <c r="AR310" s="96"/>
      <c r="AS310" s="96"/>
      <c r="AT310" s="96"/>
      <c r="AU310" s="96"/>
      <c r="AV310" s="96"/>
      <c r="AW310" s="96"/>
      <c r="AX310" s="96"/>
      <c r="AY310" s="96"/>
      <c r="AZ310" s="96"/>
      <c r="BA310" s="99"/>
      <c r="BB310" s="99"/>
      <c r="BC310" s="99"/>
      <c r="BD310" s="99"/>
      <c r="BE310" s="99"/>
      <c r="BF310" s="100"/>
      <c r="BG310" s="100"/>
      <c r="BH310" s="100"/>
    </row>
    <row r="311" spans="1:106" ht="12" hidden="1" customHeight="1">
      <c r="A311" s="2" t="s">
        <v>242</v>
      </c>
      <c r="BI311" s="3"/>
    </row>
    <row r="312" spans="1:106" ht="30" hidden="1" customHeight="1">
      <c r="A312" s="317" t="s">
        <v>31</v>
      </c>
      <c r="B312" s="317"/>
      <c r="C312" s="317"/>
      <c r="D312" s="317"/>
      <c r="E312" s="318" t="s">
        <v>78</v>
      </c>
      <c r="F312" s="318"/>
      <c r="G312" s="318"/>
      <c r="H312" s="318"/>
      <c r="I312" s="318"/>
      <c r="J312" s="318"/>
      <c r="K312" s="318"/>
      <c r="L312" s="318"/>
      <c r="M312" s="318"/>
      <c r="N312" s="318"/>
      <c r="O312" s="318"/>
      <c r="P312" s="318"/>
      <c r="Q312" s="318"/>
      <c r="R312" s="318"/>
      <c r="S312" s="318"/>
      <c r="T312" s="318"/>
      <c r="U312" s="318"/>
      <c r="V312" s="318"/>
      <c r="W312" s="318"/>
      <c r="X312" s="318"/>
      <c r="Y312" s="318"/>
      <c r="Z312" s="318"/>
      <c r="AA312" s="318"/>
      <c r="AB312" s="318"/>
      <c r="AC312" s="318"/>
      <c r="AD312" s="318" t="s">
        <v>34</v>
      </c>
      <c r="AE312" s="318"/>
      <c r="AF312" s="318"/>
      <c r="AG312" s="318"/>
      <c r="AH312" s="318"/>
      <c r="AI312" s="318"/>
      <c r="AJ312" s="318"/>
      <c r="AK312" s="318"/>
      <c r="AL312" s="318"/>
      <c r="AM312" s="318"/>
      <c r="AN312" s="318"/>
      <c r="AO312" s="318"/>
      <c r="AP312" s="318"/>
      <c r="AQ312" s="319" t="s">
        <v>35</v>
      </c>
      <c r="AR312" s="320"/>
      <c r="AS312" s="320"/>
      <c r="AT312" s="320"/>
      <c r="AU312" s="320"/>
      <c r="AV312" s="320"/>
      <c r="AW312" s="320"/>
      <c r="AX312" s="320"/>
      <c r="AY312" s="320"/>
      <c r="AZ312" s="320"/>
      <c r="BA312" s="320"/>
      <c r="BB312" s="321"/>
      <c r="BC312" s="319" t="s">
        <v>46</v>
      </c>
      <c r="BD312" s="320"/>
      <c r="BE312" s="320"/>
      <c r="BF312" s="320"/>
      <c r="BG312" s="320"/>
      <c r="BH312" s="321"/>
      <c r="BI312" s="3"/>
    </row>
    <row r="313" spans="1:106" ht="11.25" hidden="1">
      <c r="A313" s="331" t="s">
        <v>243</v>
      </c>
      <c r="B313" s="332"/>
      <c r="C313" s="332"/>
      <c r="D313" s="333"/>
      <c r="E313" s="337"/>
      <c r="F313" s="338"/>
      <c r="G313" s="338"/>
      <c r="H313" s="338"/>
      <c r="I313" s="338"/>
      <c r="J313" s="338"/>
      <c r="K313" s="338"/>
      <c r="L313" s="338"/>
      <c r="M313" s="338"/>
      <c r="N313" s="338"/>
      <c r="O313" s="338"/>
      <c r="P313" s="338"/>
      <c r="Q313" s="338"/>
      <c r="R313" s="338"/>
      <c r="S313" s="338"/>
      <c r="T313" s="338"/>
      <c r="U313" s="338"/>
      <c r="V313" s="338"/>
      <c r="W313" s="338"/>
      <c r="X313" s="338"/>
      <c r="Y313" s="338"/>
      <c r="Z313" s="338"/>
      <c r="AA313" s="338"/>
      <c r="AB313" s="338"/>
      <c r="AC313" s="339"/>
      <c r="AD313" s="343" t="s">
        <v>37</v>
      </c>
      <c r="AE313" s="332"/>
      <c r="AF313" s="332"/>
      <c r="AG313" s="332"/>
      <c r="AH313" s="332"/>
      <c r="AI313" s="332"/>
      <c r="AJ313" s="332"/>
      <c r="AK313" s="332"/>
      <c r="AL313" s="332"/>
      <c r="AM313" s="332"/>
      <c r="AN313" s="332"/>
      <c r="AO313" s="332"/>
      <c r="AP313" s="333"/>
      <c r="AQ313" s="344">
        <f>BC313/BC315</f>
        <v>0.625</v>
      </c>
      <c r="AR313" s="345"/>
      <c r="AS313" s="345"/>
      <c r="AT313" s="345"/>
      <c r="AU313" s="345"/>
      <c r="AV313" s="345"/>
      <c r="AW313" s="345"/>
      <c r="AX313" s="345"/>
      <c r="AY313" s="345"/>
      <c r="AZ313" s="345"/>
      <c r="BA313" s="345"/>
      <c r="BB313" s="346"/>
      <c r="BC313" s="347" t="s">
        <v>65</v>
      </c>
      <c r="BD313" s="348"/>
      <c r="BE313" s="348"/>
      <c r="BF313" s="348"/>
      <c r="BG313" s="348"/>
      <c r="BH313" s="349"/>
      <c r="BI313" s="3"/>
    </row>
    <row r="314" spans="1:106" ht="12.75" hidden="1" customHeight="1">
      <c r="A314" s="334"/>
      <c r="B314" s="335"/>
      <c r="C314" s="335"/>
      <c r="D314" s="336"/>
      <c r="E314" s="340"/>
      <c r="F314" s="341"/>
      <c r="G314" s="341"/>
      <c r="H314" s="341"/>
      <c r="I314" s="341"/>
      <c r="J314" s="341"/>
      <c r="K314" s="341"/>
      <c r="L314" s="341"/>
      <c r="M314" s="341"/>
      <c r="N314" s="341"/>
      <c r="O314" s="341"/>
      <c r="P314" s="341"/>
      <c r="Q314" s="341"/>
      <c r="R314" s="341"/>
      <c r="S314" s="341"/>
      <c r="T314" s="341"/>
      <c r="U314" s="341"/>
      <c r="V314" s="341"/>
      <c r="W314" s="341"/>
      <c r="X314" s="341"/>
      <c r="Y314" s="341"/>
      <c r="Z314" s="341"/>
      <c r="AA314" s="341"/>
      <c r="AB314" s="341"/>
      <c r="AC314" s="342"/>
      <c r="AD314" s="350" t="s">
        <v>38</v>
      </c>
      <c r="AE314" s="351"/>
      <c r="AF314" s="351"/>
      <c r="AG314" s="351"/>
      <c r="AH314" s="351"/>
      <c r="AI314" s="351"/>
      <c r="AJ314" s="351"/>
      <c r="AK314" s="351"/>
      <c r="AL314" s="351"/>
      <c r="AM314" s="351"/>
      <c r="AN314" s="351"/>
      <c r="AO314" s="351"/>
      <c r="AP314" s="352"/>
      <c r="AQ314" s="353">
        <f>BC314/BC315</f>
        <v>0.375</v>
      </c>
      <c r="AR314" s="354"/>
      <c r="AS314" s="354"/>
      <c r="AT314" s="354"/>
      <c r="AU314" s="354"/>
      <c r="AV314" s="354"/>
      <c r="AW314" s="354"/>
      <c r="AX314" s="354"/>
      <c r="AY314" s="354"/>
      <c r="AZ314" s="354"/>
      <c r="BA314" s="354"/>
      <c r="BB314" s="355"/>
      <c r="BC314" s="314" t="s">
        <v>66</v>
      </c>
      <c r="BD314" s="315"/>
      <c r="BE314" s="315"/>
      <c r="BF314" s="315"/>
      <c r="BG314" s="315"/>
      <c r="BH314" s="316"/>
      <c r="BI314" s="3"/>
    </row>
    <row r="315" spans="1:106" ht="12" hidden="1" customHeight="1">
      <c r="A315" s="15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7"/>
      <c r="Z315" s="17"/>
      <c r="AA315" s="17"/>
      <c r="AB315" s="17"/>
      <c r="AC315" s="18"/>
      <c r="AD315" s="322" t="s">
        <v>36</v>
      </c>
      <c r="AE315" s="323"/>
      <c r="AF315" s="323"/>
      <c r="AG315" s="323"/>
      <c r="AH315" s="323"/>
      <c r="AI315" s="323"/>
      <c r="AJ315" s="323"/>
      <c r="AK315" s="323"/>
      <c r="AL315" s="323"/>
      <c r="AM315" s="323"/>
      <c r="AN315" s="323"/>
      <c r="AO315" s="323"/>
      <c r="AP315" s="323"/>
      <c r="AQ315" s="323"/>
      <c r="AR315" s="323"/>
      <c r="AS315" s="323"/>
      <c r="AT315" s="323"/>
      <c r="AU315" s="324"/>
      <c r="AV315" s="325"/>
      <c r="AW315" s="326"/>
      <c r="AX315" s="326"/>
      <c r="AY315" s="326"/>
      <c r="AZ315" s="326"/>
      <c r="BA315" s="326"/>
      <c r="BB315" s="327"/>
      <c r="BC315" s="328">
        <f>BC313+BC314</f>
        <v>4</v>
      </c>
      <c r="BD315" s="329"/>
      <c r="BE315" s="329"/>
      <c r="BF315" s="329"/>
      <c r="BG315" s="329"/>
      <c r="BH315" s="330"/>
      <c r="BI315" s="3"/>
    </row>
    <row r="316" spans="1:106" ht="12" hidden="1" customHeight="1">
      <c r="A316" s="22"/>
      <c r="B316" s="33"/>
      <c r="C316" s="33"/>
      <c r="D316" s="33"/>
      <c r="E316" s="23"/>
      <c r="F316" s="23"/>
      <c r="G316" s="23"/>
      <c r="H316" s="23"/>
      <c r="I316" s="23"/>
      <c r="J316" s="21"/>
      <c r="K316" s="23"/>
      <c r="L316" s="23"/>
      <c r="M316" s="23"/>
      <c r="N316" s="23"/>
      <c r="O316" s="23"/>
      <c r="P316" s="29"/>
      <c r="Q316" s="29"/>
      <c r="R316" s="29"/>
      <c r="S316" s="30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24"/>
      <c r="AE316" s="25"/>
      <c r="AF316" s="26"/>
      <c r="AG316" s="26"/>
      <c r="AH316" s="26"/>
      <c r="AI316" s="26"/>
      <c r="AJ316" s="26"/>
      <c r="AK316" s="12"/>
      <c r="AL316" s="12"/>
      <c r="AM316" s="34"/>
      <c r="AN316" s="27"/>
      <c r="AO316" s="27"/>
      <c r="AP316" s="27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40"/>
      <c r="BC316" s="28"/>
      <c r="BD316" s="41"/>
      <c r="BE316" s="41"/>
      <c r="BF316" s="41"/>
      <c r="BG316" s="41"/>
      <c r="BH316" s="42"/>
      <c r="BI316" s="3"/>
    </row>
    <row r="317" spans="1:106" ht="48" hidden="1" customHeight="1">
      <c r="A317" s="331" t="s">
        <v>244</v>
      </c>
      <c r="B317" s="332"/>
      <c r="C317" s="332"/>
      <c r="D317" s="333"/>
      <c r="E317" s="356"/>
      <c r="F317" s="357"/>
      <c r="G317" s="357"/>
      <c r="H317" s="357"/>
      <c r="I317" s="357"/>
      <c r="J317" s="357"/>
      <c r="K317" s="357"/>
      <c r="L317" s="357"/>
      <c r="M317" s="357"/>
      <c r="N317" s="357"/>
      <c r="O317" s="357"/>
      <c r="P317" s="357"/>
      <c r="Q317" s="357"/>
      <c r="R317" s="357"/>
      <c r="S317" s="357"/>
      <c r="T317" s="357"/>
      <c r="U317" s="357"/>
      <c r="V317" s="357"/>
      <c r="W317" s="357"/>
      <c r="X317" s="357"/>
      <c r="Y317" s="357"/>
      <c r="Z317" s="357"/>
      <c r="AA317" s="357"/>
      <c r="AB317" s="357"/>
      <c r="AC317" s="358"/>
      <c r="AD317" s="343" t="s">
        <v>37</v>
      </c>
      <c r="AE317" s="332"/>
      <c r="AF317" s="332"/>
      <c r="AG317" s="332"/>
      <c r="AH317" s="332"/>
      <c r="AI317" s="332"/>
      <c r="AJ317" s="332"/>
      <c r="AK317" s="332"/>
      <c r="AL317" s="332"/>
      <c r="AM317" s="332"/>
      <c r="AN317" s="332"/>
      <c r="AO317" s="332"/>
      <c r="AP317" s="333"/>
      <c r="AQ317" s="359" t="s">
        <v>64</v>
      </c>
      <c r="AR317" s="360"/>
      <c r="AS317" s="360"/>
      <c r="AT317" s="360"/>
      <c r="AU317" s="360"/>
      <c r="AV317" s="360"/>
      <c r="AW317" s="360"/>
      <c r="AX317" s="360"/>
      <c r="AY317" s="360"/>
      <c r="AZ317" s="360"/>
      <c r="BA317" s="360"/>
      <c r="BB317" s="361"/>
      <c r="BC317" s="347" t="s">
        <v>63</v>
      </c>
      <c r="BD317" s="348"/>
      <c r="BE317" s="348"/>
      <c r="BF317" s="348"/>
      <c r="BG317" s="348"/>
      <c r="BH317" s="349"/>
      <c r="BI317" s="3"/>
    </row>
    <row r="318" spans="1:106" ht="12" hidden="1" customHeight="1">
      <c r="A318" s="15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7"/>
      <c r="Z318" s="17"/>
      <c r="AA318" s="17"/>
      <c r="AB318" s="17"/>
      <c r="AC318" s="18"/>
      <c r="AD318" s="322" t="s">
        <v>36</v>
      </c>
      <c r="AE318" s="323"/>
      <c r="AF318" s="323"/>
      <c r="AG318" s="323"/>
      <c r="AH318" s="323"/>
      <c r="AI318" s="323"/>
      <c r="AJ318" s="323"/>
      <c r="AK318" s="323"/>
      <c r="AL318" s="323"/>
      <c r="AM318" s="323"/>
      <c r="AN318" s="323"/>
      <c r="AO318" s="323"/>
      <c r="AP318" s="323"/>
      <c r="AQ318" s="323"/>
      <c r="AR318" s="323"/>
      <c r="AS318" s="323"/>
      <c r="AT318" s="323"/>
      <c r="AU318" s="324"/>
      <c r="AV318" s="325"/>
      <c r="AW318" s="326"/>
      <c r="AX318" s="326"/>
      <c r="AY318" s="326"/>
      <c r="AZ318" s="326"/>
      <c r="BA318" s="326"/>
      <c r="BB318" s="327"/>
      <c r="BC318" s="328" t="str">
        <f>BC317</f>
        <v>0,5</v>
      </c>
      <c r="BD318" s="329"/>
      <c r="BE318" s="329"/>
      <c r="BF318" s="329"/>
      <c r="BG318" s="329"/>
      <c r="BH318" s="330"/>
      <c r="BI318" s="3"/>
    </row>
    <row r="319" spans="1:106" ht="12" hidden="1" customHeight="1">
      <c r="B319" s="11"/>
    </row>
  </sheetData>
  <mergeCells count="1816">
    <mergeCell ref="AH211:AJ211"/>
    <mergeCell ref="AB210:AD210"/>
    <mergeCell ref="AB211:AD211"/>
    <mergeCell ref="AB278:AD278"/>
    <mergeCell ref="AH285:AJ285"/>
    <mergeCell ref="AH286:AJ286"/>
    <mergeCell ref="AB285:AD285"/>
    <mergeCell ref="AB286:AD286"/>
    <mergeCell ref="AB282:AE282"/>
    <mergeCell ref="AF282:AJ282"/>
    <mergeCell ref="AH253:AJ253"/>
    <mergeCell ref="AB252:AD252"/>
    <mergeCell ref="AB253:AD253"/>
    <mergeCell ref="AH235:AJ235"/>
    <mergeCell ref="AH236:AJ236"/>
    <mergeCell ref="AB235:AD235"/>
    <mergeCell ref="AB236:AD236"/>
    <mergeCell ref="AE236:AF236"/>
    <mergeCell ref="AB103:AD103"/>
    <mergeCell ref="AH103:AJ103"/>
    <mergeCell ref="AB104:AD104"/>
    <mergeCell ref="AH104:AJ104"/>
    <mergeCell ref="AE103:AF103"/>
    <mergeCell ref="AH252:AJ252"/>
    <mergeCell ref="AH227:AJ227"/>
    <mergeCell ref="AH228:AJ228"/>
    <mergeCell ref="AE227:AF227"/>
    <mergeCell ref="AB227:AD227"/>
    <mergeCell ref="AB174:AE174"/>
    <mergeCell ref="AT298:AU298"/>
    <mergeCell ref="AW298:AZ298"/>
    <mergeCell ref="BA298:BH298"/>
    <mergeCell ref="AB287:AZ287"/>
    <mergeCell ref="BA287:BE287"/>
    <mergeCell ref="BF287:BH287"/>
    <mergeCell ref="BF288:BH288"/>
    <mergeCell ref="AB291:AE291"/>
    <mergeCell ref="AL291:AP291"/>
    <mergeCell ref="AB289:AF289"/>
    <mergeCell ref="U288:W288"/>
    <mergeCell ref="X288:Z288"/>
    <mergeCell ref="AB288:AZ288"/>
    <mergeCell ref="BA288:BE288"/>
    <mergeCell ref="A288:B288"/>
    <mergeCell ref="D288:H288"/>
    <mergeCell ref="I288:N288"/>
    <mergeCell ref="R288:S288"/>
    <mergeCell ref="BF300:BH300"/>
    <mergeCell ref="A289:W289"/>
    <mergeCell ref="AH260:AJ260"/>
    <mergeCell ref="AH261:AJ261"/>
    <mergeCell ref="AB260:AD260"/>
    <mergeCell ref="AB261:AD261"/>
    <mergeCell ref="AH277:AJ277"/>
    <mergeCell ref="AH278:AJ278"/>
    <mergeCell ref="AB277:AD277"/>
    <mergeCell ref="X289:AA289"/>
    <mergeCell ref="X298:AL298"/>
    <mergeCell ref="AN298:AS298"/>
    <mergeCell ref="AW299:AZ299"/>
    <mergeCell ref="BA299:BE299"/>
    <mergeCell ref="X300:Z300"/>
    <mergeCell ref="AB300:AZ300"/>
    <mergeCell ref="BA300:BE300"/>
    <mergeCell ref="A306:AI306"/>
    <mergeCell ref="AK306:AM306"/>
    <mergeCell ref="AO306:AS306"/>
    <mergeCell ref="AW306:AY306"/>
    <mergeCell ref="AW301:AY301"/>
    <mergeCell ref="BA301:BE301"/>
    <mergeCell ref="A302:W302"/>
    <mergeCell ref="AW302:AY302"/>
    <mergeCell ref="BA302:BE302"/>
    <mergeCell ref="BF302:BH302"/>
    <mergeCell ref="BA306:BE306"/>
    <mergeCell ref="BF306:BH306"/>
    <mergeCell ref="AK305:AM305"/>
    <mergeCell ref="AO305:AS305"/>
    <mergeCell ref="AW305:AY305"/>
    <mergeCell ref="BA305:BE305"/>
    <mergeCell ref="BK307:BL307"/>
    <mergeCell ref="A308:AI308"/>
    <mergeCell ref="AK308:AM308"/>
    <mergeCell ref="AO308:AS308"/>
    <mergeCell ref="AW308:AY308"/>
    <mergeCell ref="BA308:BE308"/>
    <mergeCell ref="BF308:BH308"/>
    <mergeCell ref="BK308:BL308"/>
    <mergeCell ref="BA307:BE307"/>
    <mergeCell ref="BF307:BH307"/>
    <mergeCell ref="BK309:BL309"/>
    <mergeCell ref="A303:AI303"/>
    <mergeCell ref="AK303:AM303"/>
    <mergeCell ref="AO303:AS303"/>
    <mergeCell ref="AW303:AY303"/>
    <mergeCell ref="BA303:BE303"/>
    <mergeCell ref="BF303:BH303"/>
    <mergeCell ref="AK309:AM309"/>
    <mergeCell ref="AO309:AS309"/>
    <mergeCell ref="A304:AI304"/>
    <mergeCell ref="BF304:BH304"/>
    <mergeCell ref="BK304:BL304"/>
    <mergeCell ref="A305:AI305"/>
    <mergeCell ref="BK305:BL305"/>
    <mergeCell ref="AK304:AM304"/>
    <mergeCell ref="AO304:AS304"/>
    <mergeCell ref="AW304:AY304"/>
    <mergeCell ref="BA304:BE304"/>
    <mergeCell ref="BF305:BH305"/>
    <mergeCell ref="A309:AI309"/>
    <mergeCell ref="BK303:BL303"/>
    <mergeCell ref="AW309:AY309"/>
    <mergeCell ref="BA309:BE309"/>
    <mergeCell ref="BF309:BH309"/>
    <mergeCell ref="BK306:BL306"/>
    <mergeCell ref="A307:AI307"/>
    <mergeCell ref="AK307:AM307"/>
    <mergeCell ref="AO307:AS307"/>
    <mergeCell ref="AW307:AY307"/>
    <mergeCell ref="R293:S293"/>
    <mergeCell ref="BA291:BE291"/>
    <mergeCell ref="BF291:BH291"/>
    <mergeCell ref="X292:Z292"/>
    <mergeCell ref="AB292:AZ292"/>
    <mergeCell ref="BA292:BE292"/>
    <mergeCell ref="BF292:BH292"/>
    <mergeCell ref="AW290:AZ290"/>
    <mergeCell ref="BA290:BE290"/>
    <mergeCell ref="BF290:BH290"/>
    <mergeCell ref="U293:W293"/>
    <mergeCell ref="X293:Z293"/>
    <mergeCell ref="AB293:AZ293"/>
    <mergeCell ref="BA293:BE293"/>
    <mergeCell ref="AH289:AL289"/>
    <mergeCell ref="AM289:AN289"/>
    <mergeCell ref="AP289:AS289"/>
    <mergeCell ref="AT289:AU289"/>
    <mergeCell ref="BF293:BH293"/>
    <mergeCell ref="A290:W292"/>
    <mergeCell ref="X290:Z290"/>
    <mergeCell ref="AB290:AE290"/>
    <mergeCell ref="AL290:AP290"/>
    <mergeCell ref="AS290:AU290"/>
    <mergeCell ref="AW289:AZ289"/>
    <mergeCell ref="BA289:BH289"/>
    <mergeCell ref="X283:Z283"/>
    <mergeCell ref="AB283:AE283"/>
    <mergeCell ref="AF283:AJ283"/>
    <mergeCell ref="AL283:AP283"/>
    <mergeCell ref="BA283:BE283"/>
    <mergeCell ref="BF283:BH283"/>
    <mergeCell ref="X284:Z284"/>
    <mergeCell ref="AB284:AZ284"/>
    <mergeCell ref="BA284:BE284"/>
    <mergeCell ref="BF284:BH284"/>
    <mergeCell ref="AK285:AL285"/>
    <mergeCell ref="A285:W285"/>
    <mergeCell ref="X285:Z285"/>
    <mergeCell ref="AE285:AF285"/>
    <mergeCell ref="AN285:AY285"/>
    <mergeCell ref="BA285:BE285"/>
    <mergeCell ref="A282:W284"/>
    <mergeCell ref="X282:Z282"/>
    <mergeCell ref="BA263:BE263"/>
    <mergeCell ref="BF263:BH263"/>
    <mergeCell ref="AN261:AY261"/>
    <mergeCell ref="BA261:BE261"/>
    <mergeCell ref="X262:Z262"/>
    <mergeCell ref="AB262:AZ262"/>
    <mergeCell ref="BA262:BE262"/>
    <mergeCell ref="AB264:AF264"/>
    <mergeCell ref="AH264:AL264"/>
    <mergeCell ref="BF262:BH262"/>
    <mergeCell ref="A263:B263"/>
    <mergeCell ref="D263:H263"/>
    <mergeCell ref="I263:N263"/>
    <mergeCell ref="R263:S263"/>
    <mergeCell ref="U263:W263"/>
    <mergeCell ref="X263:Z263"/>
    <mergeCell ref="AB263:AZ263"/>
    <mergeCell ref="BA270:BE270"/>
    <mergeCell ref="BF270:BH270"/>
    <mergeCell ref="A271:B271"/>
    <mergeCell ref="C271:BH271"/>
    <mergeCell ref="AM264:AN264"/>
    <mergeCell ref="AP264:AS264"/>
    <mergeCell ref="AT264:AU264"/>
    <mergeCell ref="AW264:AZ264"/>
    <mergeCell ref="A264:W264"/>
    <mergeCell ref="X264:AA264"/>
    <mergeCell ref="X243:Z243"/>
    <mergeCell ref="AB243:AZ243"/>
    <mergeCell ref="BA243:BE243"/>
    <mergeCell ref="BF243:BH243"/>
    <mergeCell ref="BA264:BH264"/>
    <mergeCell ref="A272:B272"/>
    <mergeCell ref="C272:AZ272"/>
    <mergeCell ref="BA272:BH272"/>
    <mergeCell ref="A270:W270"/>
    <mergeCell ref="AW270:AY270"/>
    <mergeCell ref="A256:W256"/>
    <mergeCell ref="X256:AA256"/>
    <mergeCell ref="AB256:AF256"/>
    <mergeCell ref="AH256:AL256"/>
    <mergeCell ref="BF242:BH242"/>
    <mergeCell ref="A243:B243"/>
    <mergeCell ref="D243:H243"/>
    <mergeCell ref="I243:N243"/>
    <mergeCell ref="R243:S243"/>
    <mergeCell ref="U243:W243"/>
    <mergeCell ref="BA255:BE255"/>
    <mergeCell ref="BF255:BH255"/>
    <mergeCell ref="AM256:AN256"/>
    <mergeCell ref="AP256:AS256"/>
    <mergeCell ref="AT256:AU256"/>
    <mergeCell ref="AW256:AZ256"/>
    <mergeCell ref="AE252:AF252"/>
    <mergeCell ref="AK252:AL252"/>
    <mergeCell ref="BA256:BH256"/>
    <mergeCell ref="BF254:BH254"/>
    <mergeCell ref="A255:B255"/>
    <mergeCell ref="D255:H255"/>
    <mergeCell ref="R255:S255"/>
    <mergeCell ref="U255:W255"/>
    <mergeCell ref="X255:Z255"/>
    <mergeCell ref="AB255:AZ255"/>
    <mergeCell ref="AM231:AN231"/>
    <mergeCell ref="AP231:AS231"/>
    <mergeCell ref="AT231:AU231"/>
    <mergeCell ref="AW231:AZ231"/>
    <mergeCell ref="BA231:BH231"/>
    <mergeCell ref="U218:W218"/>
    <mergeCell ref="X218:Z218"/>
    <mergeCell ref="AB218:AZ218"/>
    <mergeCell ref="BA218:BE218"/>
    <mergeCell ref="AB228:AD228"/>
    <mergeCell ref="A224:W226"/>
    <mergeCell ref="X224:Z224"/>
    <mergeCell ref="AB224:AE224"/>
    <mergeCell ref="AF224:AJ224"/>
    <mergeCell ref="X226:Z226"/>
    <mergeCell ref="BF218:BH218"/>
    <mergeCell ref="A218:B218"/>
    <mergeCell ref="D218:H218"/>
    <mergeCell ref="I218:N218"/>
    <mergeCell ref="R218:S218"/>
    <mergeCell ref="BA224:BE224"/>
    <mergeCell ref="BF224:BH224"/>
    <mergeCell ref="X225:Z225"/>
    <mergeCell ref="AB225:AE225"/>
    <mergeCell ref="AF225:AJ225"/>
    <mergeCell ref="AL225:AP225"/>
    <mergeCell ref="AL224:AP224"/>
    <mergeCell ref="AQ224:AR224"/>
    <mergeCell ref="AS224:AU224"/>
    <mergeCell ref="AW224:AZ224"/>
    <mergeCell ref="AS215:AU215"/>
    <mergeCell ref="AW215:AZ215"/>
    <mergeCell ref="A215:W217"/>
    <mergeCell ref="X215:Z215"/>
    <mergeCell ref="AB215:AE215"/>
    <mergeCell ref="AF215:AJ215"/>
    <mergeCell ref="X217:Z217"/>
    <mergeCell ref="AB217:AZ217"/>
    <mergeCell ref="BA215:BE215"/>
    <mergeCell ref="BF215:BH215"/>
    <mergeCell ref="X216:Z216"/>
    <mergeCell ref="AB216:AE216"/>
    <mergeCell ref="AF216:AJ216"/>
    <mergeCell ref="AL216:AP216"/>
    <mergeCell ref="BA216:BE216"/>
    <mergeCell ref="BF216:BH216"/>
    <mergeCell ref="AL215:AP215"/>
    <mergeCell ref="AQ215:AR215"/>
    <mergeCell ref="R213:S213"/>
    <mergeCell ref="BA217:BE217"/>
    <mergeCell ref="BF217:BH217"/>
    <mergeCell ref="X212:Z212"/>
    <mergeCell ref="AB212:AZ212"/>
    <mergeCell ref="BA212:BE212"/>
    <mergeCell ref="BF212:BH212"/>
    <mergeCell ref="BF213:BH213"/>
    <mergeCell ref="AM214:AN214"/>
    <mergeCell ref="AP214:AS214"/>
    <mergeCell ref="A214:W214"/>
    <mergeCell ref="X214:AA214"/>
    <mergeCell ref="AB214:AF214"/>
    <mergeCell ref="AH214:AL214"/>
    <mergeCell ref="U213:W213"/>
    <mergeCell ref="X213:Z213"/>
    <mergeCell ref="AB213:AZ213"/>
    <mergeCell ref="A213:B213"/>
    <mergeCell ref="D213:H213"/>
    <mergeCell ref="I213:N213"/>
    <mergeCell ref="AQ207:AR207"/>
    <mergeCell ref="AS207:AU207"/>
    <mergeCell ref="AW207:AZ207"/>
    <mergeCell ref="BA207:BE207"/>
    <mergeCell ref="BF207:BH207"/>
    <mergeCell ref="BA208:BE208"/>
    <mergeCell ref="BF208:BH208"/>
    <mergeCell ref="BF209:BH209"/>
    <mergeCell ref="X208:Z208"/>
    <mergeCell ref="AB208:AE208"/>
    <mergeCell ref="AF208:AJ208"/>
    <mergeCell ref="AL208:AP208"/>
    <mergeCell ref="AW214:AZ214"/>
    <mergeCell ref="BA214:BH214"/>
    <mergeCell ref="BA213:BE213"/>
    <mergeCell ref="AT214:AU214"/>
    <mergeCell ref="AH210:AJ210"/>
    <mergeCell ref="BA211:BE211"/>
    <mergeCell ref="A125:B125"/>
    <mergeCell ref="D125:H125"/>
    <mergeCell ref="I125:N125"/>
    <mergeCell ref="R125:S125"/>
    <mergeCell ref="U125:W125"/>
    <mergeCell ref="X125:Z125"/>
    <mergeCell ref="AB125:AZ125"/>
    <mergeCell ref="BA125:BE125"/>
    <mergeCell ref="AB192:AE192"/>
    <mergeCell ref="BF125:BH125"/>
    <mergeCell ref="A206:W206"/>
    <mergeCell ref="X206:AA206"/>
    <mergeCell ref="AB206:AF206"/>
    <mergeCell ref="AH206:AL206"/>
    <mergeCell ref="AM206:AN206"/>
    <mergeCell ref="AP206:AS206"/>
    <mergeCell ref="AT206:AU206"/>
    <mergeCell ref="AW206:AZ206"/>
    <mergeCell ref="BA206:BH206"/>
    <mergeCell ref="BA190:BH190"/>
    <mergeCell ref="BF204:BH204"/>
    <mergeCell ref="A205:B205"/>
    <mergeCell ref="D205:H205"/>
    <mergeCell ref="R205:S205"/>
    <mergeCell ref="U205:W205"/>
    <mergeCell ref="X205:Z205"/>
    <mergeCell ref="AB205:AZ205"/>
    <mergeCell ref="BA205:BE205"/>
    <mergeCell ref="BF205:BH205"/>
    <mergeCell ref="AW194:AY194"/>
    <mergeCell ref="BA194:BE194"/>
    <mergeCell ref="A121:W121"/>
    <mergeCell ref="X121:AA121"/>
    <mergeCell ref="AB121:AF121"/>
    <mergeCell ref="AH121:AL121"/>
    <mergeCell ref="AM121:AN121"/>
    <mergeCell ref="AP121:AS121"/>
    <mergeCell ref="AT121:AU121"/>
    <mergeCell ref="AW121:AZ121"/>
    <mergeCell ref="BA121:BH121"/>
    <mergeCell ref="A122:W124"/>
    <mergeCell ref="X122:Z122"/>
    <mergeCell ref="AB122:AE122"/>
    <mergeCell ref="AL122:AP122"/>
    <mergeCell ref="BA122:BE122"/>
    <mergeCell ref="BF122:BH122"/>
    <mergeCell ref="X123:Z123"/>
    <mergeCell ref="AB123:AE123"/>
    <mergeCell ref="AL123:AP123"/>
    <mergeCell ref="BA123:BE123"/>
    <mergeCell ref="BF123:BH123"/>
    <mergeCell ref="X124:Z124"/>
    <mergeCell ref="AB124:AZ124"/>
    <mergeCell ref="BA124:BE124"/>
    <mergeCell ref="BF124:BH124"/>
    <mergeCell ref="AB111:AZ111"/>
    <mergeCell ref="BA111:BE111"/>
    <mergeCell ref="BF111:BH111"/>
    <mergeCell ref="A111:B111"/>
    <mergeCell ref="D111:H111"/>
    <mergeCell ref="R111:S111"/>
    <mergeCell ref="U111:W111"/>
    <mergeCell ref="I111:N111"/>
    <mergeCell ref="BF108:BH108"/>
    <mergeCell ref="X109:Z109"/>
    <mergeCell ref="AB109:AE109"/>
    <mergeCell ref="AF109:AJ109"/>
    <mergeCell ref="AL109:AP109"/>
    <mergeCell ref="BA109:BE109"/>
    <mergeCell ref="BF109:BH109"/>
    <mergeCell ref="AF108:AJ108"/>
    <mergeCell ref="AL108:AP108"/>
    <mergeCell ref="BF106:BH106"/>
    <mergeCell ref="A106:B106"/>
    <mergeCell ref="D106:H106"/>
    <mergeCell ref="R106:S106"/>
    <mergeCell ref="U106:W106"/>
    <mergeCell ref="X110:Z110"/>
    <mergeCell ref="AB110:AZ110"/>
    <mergeCell ref="BA110:BE110"/>
    <mergeCell ref="BF110:BH110"/>
    <mergeCell ref="BA108:BE108"/>
    <mergeCell ref="X107:AA107"/>
    <mergeCell ref="AB107:AF107"/>
    <mergeCell ref="AH107:AL107"/>
    <mergeCell ref="X106:Z106"/>
    <mergeCell ref="AB106:AZ106"/>
    <mergeCell ref="BA106:BE106"/>
    <mergeCell ref="AP99:AS99"/>
    <mergeCell ref="AT99:AU99"/>
    <mergeCell ref="AW99:AZ99"/>
    <mergeCell ref="AM107:AN107"/>
    <mergeCell ref="AP107:AS107"/>
    <mergeCell ref="AT107:AU107"/>
    <mergeCell ref="AW107:AZ107"/>
    <mergeCell ref="AW100:AZ100"/>
    <mergeCell ref="BA100:BE100"/>
    <mergeCell ref="BF100:BH100"/>
    <mergeCell ref="BA107:BH107"/>
    <mergeCell ref="I106:N106"/>
    <mergeCell ref="A99:W99"/>
    <mergeCell ref="X99:AA99"/>
    <mergeCell ref="AB99:AF99"/>
    <mergeCell ref="AH99:AL99"/>
    <mergeCell ref="AM99:AN99"/>
    <mergeCell ref="A100:W102"/>
    <mergeCell ref="X100:Z100"/>
    <mergeCell ref="AB100:AE100"/>
    <mergeCell ref="AF100:AJ100"/>
    <mergeCell ref="AL100:AP100"/>
    <mergeCell ref="AQ100:AR100"/>
    <mergeCell ref="BF101:BH101"/>
    <mergeCell ref="X102:Z102"/>
    <mergeCell ref="AB102:AZ102"/>
    <mergeCell ref="BA102:BE102"/>
    <mergeCell ref="BF102:BH102"/>
    <mergeCell ref="X101:Z101"/>
    <mergeCell ref="AB101:AE101"/>
    <mergeCell ref="AF101:AJ101"/>
    <mergeCell ref="AL101:AP101"/>
    <mergeCell ref="A103:W103"/>
    <mergeCell ref="X103:Z103"/>
    <mergeCell ref="BF279:BH279"/>
    <mergeCell ref="AK278:AL278"/>
    <mergeCell ref="AN278:AY278"/>
    <mergeCell ref="BA278:BE278"/>
    <mergeCell ref="X279:Z279"/>
    <mergeCell ref="AB279:AZ279"/>
    <mergeCell ref="BA279:BE279"/>
    <mergeCell ref="A107:W107"/>
    <mergeCell ref="BA280:BE280"/>
    <mergeCell ref="BF280:BH280"/>
    <mergeCell ref="A280:B280"/>
    <mergeCell ref="D280:H280"/>
    <mergeCell ref="R280:S280"/>
    <mergeCell ref="U280:W280"/>
    <mergeCell ref="A278:W278"/>
    <mergeCell ref="X278:Z278"/>
    <mergeCell ref="AE278:AF278"/>
    <mergeCell ref="AW294:AY294"/>
    <mergeCell ref="BA294:BE294"/>
    <mergeCell ref="A295:W295"/>
    <mergeCell ref="AW295:AY295"/>
    <mergeCell ref="BA295:BE295"/>
    <mergeCell ref="X280:Z280"/>
    <mergeCell ref="AB280:AZ280"/>
    <mergeCell ref="A277:W277"/>
    <mergeCell ref="X277:Z277"/>
    <mergeCell ref="AE277:AF277"/>
    <mergeCell ref="AK277:AL277"/>
    <mergeCell ref="AN277:AY277"/>
    <mergeCell ref="BA277:BE277"/>
    <mergeCell ref="BA274:BE274"/>
    <mergeCell ref="AM273:AN273"/>
    <mergeCell ref="AP273:AS273"/>
    <mergeCell ref="AT273:AU273"/>
    <mergeCell ref="AW273:AZ273"/>
    <mergeCell ref="A273:W273"/>
    <mergeCell ref="X273:AA273"/>
    <mergeCell ref="AB273:AF273"/>
    <mergeCell ref="AH273:AL273"/>
    <mergeCell ref="BF275:BH275"/>
    <mergeCell ref="BA273:BH273"/>
    <mergeCell ref="A274:W276"/>
    <mergeCell ref="X274:Z274"/>
    <mergeCell ref="AB274:AE274"/>
    <mergeCell ref="AF274:AJ274"/>
    <mergeCell ref="AL274:AP274"/>
    <mergeCell ref="AQ274:AR274"/>
    <mergeCell ref="AS274:AU274"/>
    <mergeCell ref="AW274:AZ274"/>
    <mergeCell ref="X276:Z276"/>
    <mergeCell ref="AB276:AZ276"/>
    <mergeCell ref="BA276:BE276"/>
    <mergeCell ref="BF276:BH276"/>
    <mergeCell ref="BF274:BH274"/>
    <mergeCell ref="X275:Z275"/>
    <mergeCell ref="AB275:AE275"/>
    <mergeCell ref="AF275:AJ275"/>
    <mergeCell ref="AL275:AP275"/>
    <mergeCell ref="BA275:BE275"/>
    <mergeCell ref="AS257:AU257"/>
    <mergeCell ref="AW257:AZ257"/>
    <mergeCell ref="A257:W259"/>
    <mergeCell ref="X257:Z257"/>
    <mergeCell ref="AB257:AE257"/>
    <mergeCell ref="AF257:AJ257"/>
    <mergeCell ref="X259:Z259"/>
    <mergeCell ref="AB259:AZ259"/>
    <mergeCell ref="BA257:BE257"/>
    <mergeCell ref="BF257:BH257"/>
    <mergeCell ref="X258:Z258"/>
    <mergeCell ref="AB258:AE258"/>
    <mergeCell ref="AF258:AJ258"/>
    <mergeCell ref="AL258:AP258"/>
    <mergeCell ref="BA258:BE258"/>
    <mergeCell ref="BF258:BH258"/>
    <mergeCell ref="AL257:AP257"/>
    <mergeCell ref="AQ257:AR257"/>
    <mergeCell ref="BA259:BE259"/>
    <mergeCell ref="BF259:BH259"/>
    <mergeCell ref="A260:W260"/>
    <mergeCell ref="X260:Z260"/>
    <mergeCell ref="AE260:AF260"/>
    <mergeCell ref="AN260:AY260"/>
    <mergeCell ref="BA260:BE260"/>
    <mergeCell ref="AN252:AY252"/>
    <mergeCell ref="BA252:BE252"/>
    <mergeCell ref="A253:W253"/>
    <mergeCell ref="X253:Z253"/>
    <mergeCell ref="AE253:AF253"/>
    <mergeCell ref="AK253:AL253"/>
    <mergeCell ref="AN253:AY253"/>
    <mergeCell ref="BA253:BE253"/>
    <mergeCell ref="A252:W252"/>
    <mergeCell ref="X252:Z252"/>
    <mergeCell ref="X254:Z254"/>
    <mergeCell ref="AB254:AZ254"/>
    <mergeCell ref="BA254:BE254"/>
    <mergeCell ref="A247:B247"/>
    <mergeCell ref="C247:AZ247"/>
    <mergeCell ref="BA247:BH247"/>
    <mergeCell ref="A248:W248"/>
    <mergeCell ref="X248:AA248"/>
    <mergeCell ref="AB248:AF248"/>
    <mergeCell ref="AH248:AL248"/>
    <mergeCell ref="AS249:AU249"/>
    <mergeCell ref="AW249:AZ249"/>
    <mergeCell ref="BA249:BE249"/>
    <mergeCell ref="AM248:AN248"/>
    <mergeCell ref="AP248:AS248"/>
    <mergeCell ref="AT248:AU248"/>
    <mergeCell ref="AW248:AZ248"/>
    <mergeCell ref="AL250:AP250"/>
    <mergeCell ref="BA250:BE250"/>
    <mergeCell ref="BF250:BH250"/>
    <mergeCell ref="BA248:BH248"/>
    <mergeCell ref="A249:W251"/>
    <mergeCell ref="X249:Z249"/>
    <mergeCell ref="AB249:AE249"/>
    <mergeCell ref="AF249:AJ249"/>
    <mergeCell ref="AL249:AP249"/>
    <mergeCell ref="AQ249:AR249"/>
    <mergeCell ref="BF230:BH230"/>
    <mergeCell ref="X229:Z229"/>
    <mergeCell ref="X251:Z251"/>
    <mergeCell ref="AB251:AZ251"/>
    <mergeCell ref="BA251:BE251"/>
    <mergeCell ref="BF251:BH251"/>
    <mergeCell ref="BF249:BH249"/>
    <mergeCell ref="X250:Z250"/>
    <mergeCell ref="AB250:AE250"/>
    <mergeCell ref="AF250:AJ250"/>
    <mergeCell ref="AW245:AY245"/>
    <mergeCell ref="BA245:BE245"/>
    <mergeCell ref="BF229:BH229"/>
    <mergeCell ref="A230:B230"/>
    <mergeCell ref="D230:H230"/>
    <mergeCell ref="R230:S230"/>
    <mergeCell ref="U230:W230"/>
    <mergeCell ref="X230:Z230"/>
    <mergeCell ref="AB230:AZ230"/>
    <mergeCell ref="BA230:BE230"/>
    <mergeCell ref="BF245:BH245"/>
    <mergeCell ref="A246:B246"/>
    <mergeCell ref="C246:BH246"/>
    <mergeCell ref="A232:W234"/>
    <mergeCell ref="X232:Z232"/>
    <mergeCell ref="AB232:AE232"/>
    <mergeCell ref="AF232:AJ232"/>
    <mergeCell ref="AL232:AP232"/>
    <mergeCell ref="AQ232:AR232"/>
    <mergeCell ref="AS232:AU232"/>
    <mergeCell ref="BF232:BH232"/>
    <mergeCell ref="X233:Z233"/>
    <mergeCell ref="AB233:AE233"/>
    <mergeCell ref="AF233:AJ233"/>
    <mergeCell ref="AL233:AP233"/>
    <mergeCell ref="BA233:BE233"/>
    <mergeCell ref="A227:W227"/>
    <mergeCell ref="X227:Z227"/>
    <mergeCell ref="AK227:AL227"/>
    <mergeCell ref="AN227:AY227"/>
    <mergeCell ref="AW232:AZ232"/>
    <mergeCell ref="BA232:BE232"/>
    <mergeCell ref="A231:W231"/>
    <mergeCell ref="X231:AA231"/>
    <mergeCell ref="AB231:AF231"/>
    <mergeCell ref="AH231:AL231"/>
    <mergeCell ref="A228:W228"/>
    <mergeCell ref="X228:Z228"/>
    <mergeCell ref="AE228:AF228"/>
    <mergeCell ref="AK228:AL228"/>
    <mergeCell ref="AN228:AY228"/>
    <mergeCell ref="BA228:BE228"/>
    <mergeCell ref="AB229:AZ229"/>
    <mergeCell ref="BA229:BE229"/>
    <mergeCell ref="BA225:BE225"/>
    <mergeCell ref="BF225:BH225"/>
    <mergeCell ref="AB226:AZ226"/>
    <mergeCell ref="BA226:BE226"/>
    <mergeCell ref="BF226:BH226"/>
    <mergeCell ref="BA227:BE227"/>
    <mergeCell ref="A221:B221"/>
    <mergeCell ref="C221:BH221"/>
    <mergeCell ref="A222:B222"/>
    <mergeCell ref="C222:AZ222"/>
    <mergeCell ref="BA222:BH222"/>
    <mergeCell ref="A220:W220"/>
    <mergeCell ref="AW220:AY220"/>
    <mergeCell ref="BA220:BE220"/>
    <mergeCell ref="BF220:BH220"/>
    <mergeCell ref="AM223:AN223"/>
    <mergeCell ref="AP223:AS223"/>
    <mergeCell ref="AT223:AU223"/>
    <mergeCell ref="AW223:AZ223"/>
    <mergeCell ref="A223:W223"/>
    <mergeCell ref="X223:AA223"/>
    <mergeCell ref="AB223:AF223"/>
    <mergeCell ref="AH223:AL223"/>
    <mergeCell ref="AN211:AY211"/>
    <mergeCell ref="BA223:BH223"/>
    <mergeCell ref="AW219:AY219"/>
    <mergeCell ref="BA219:BE219"/>
    <mergeCell ref="A210:W210"/>
    <mergeCell ref="X210:Z210"/>
    <mergeCell ref="AE210:AF210"/>
    <mergeCell ref="AK210:AL210"/>
    <mergeCell ref="AN210:AY210"/>
    <mergeCell ref="BA210:BE210"/>
    <mergeCell ref="A202:W202"/>
    <mergeCell ref="X202:Z202"/>
    <mergeCell ref="AE202:AF202"/>
    <mergeCell ref="AK202:AL202"/>
    <mergeCell ref="AB202:AD202"/>
    <mergeCell ref="X211:Z211"/>
    <mergeCell ref="AE211:AF211"/>
    <mergeCell ref="AK211:AL211"/>
    <mergeCell ref="A211:W211"/>
    <mergeCell ref="X209:Z209"/>
    <mergeCell ref="AN202:AY202"/>
    <mergeCell ref="BA202:BE202"/>
    <mergeCell ref="A203:W203"/>
    <mergeCell ref="X203:Z203"/>
    <mergeCell ref="AE203:AF203"/>
    <mergeCell ref="AK203:AL203"/>
    <mergeCell ref="AN203:AY203"/>
    <mergeCell ref="BA203:BE203"/>
    <mergeCell ref="AH202:AJ202"/>
    <mergeCell ref="AH203:AJ203"/>
    <mergeCell ref="X204:Z204"/>
    <mergeCell ref="AB204:AZ204"/>
    <mergeCell ref="BA204:BE204"/>
    <mergeCell ref="A207:W209"/>
    <mergeCell ref="X207:Z207"/>
    <mergeCell ref="AB207:AE207"/>
    <mergeCell ref="AF207:AJ207"/>
    <mergeCell ref="AB209:AZ209"/>
    <mergeCell ref="BA209:BE209"/>
    <mergeCell ref="AL207:AP207"/>
    <mergeCell ref="AB203:AD203"/>
    <mergeCell ref="A197:B197"/>
    <mergeCell ref="C197:AZ197"/>
    <mergeCell ref="BA197:BH197"/>
    <mergeCell ref="A198:W198"/>
    <mergeCell ref="X198:AA198"/>
    <mergeCell ref="AB198:AF198"/>
    <mergeCell ref="AH198:AL198"/>
    <mergeCell ref="AM198:AN198"/>
    <mergeCell ref="AP198:AS198"/>
    <mergeCell ref="BF200:BH200"/>
    <mergeCell ref="AT198:AU198"/>
    <mergeCell ref="AW198:AZ198"/>
    <mergeCell ref="BA198:BH198"/>
    <mergeCell ref="A199:W201"/>
    <mergeCell ref="X199:Z199"/>
    <mergeCell ref="AB199:AE199"/>
    <mergeCell ref="AF199:AJ199"/>
    <mergeCell ref="AL199:AP199"/>
    <mergeCell ref="AQ199:AR199"/>
    <mergeCell ref="BA201:BE201"/>
    <mergeCell ref="BF201:BH201"/>
    <mergeCell ref="AW199:AZ199"/>
    <mergeCell ref="BA199:BE199"/>
    <mergeCell ref="BF199:BH199"/>
    <mergeCell ref="X200:Z200"/>
    <mergeCell ref="AB200:AE200"/>
    <mergeCell ref="AF200:AJ200"/>
    <mergeCell ref="AL200:AP200"/>
    <mergeCell ref="BA200:BE200"/>
    <mergeCell ref="A192:W192"/>
    <mergeCell ref="X192:Z192"/>
    <mergeCell ref="AF192:AH192"/>
    <mergeCell ref="AJ192:AZ192"/>
    <mergeCell ref="X201:Z201"/>
    <mergeCell ref="AB201:AZ201"/>
    <mergeCell ref="AS199:AU199"/>
    <mergeCell ref="BA192:BE192"/>
    <mergeCell ref="BF192:BH192"/>
    <mergeCell ref="A193:B193"/>
    <mergeCell ref="D193:H193"/>
    <mergeCell ref="R193:S193"/>
    <mergeCell ref="U193:W193"/>
    <mergeCell ref="X193:Z193"/>
    <mergeCell ref="AB193:AZ193"/>
    <mergeCell ref="BA193:BE193"/>
    <mergeCell ref="BF193:BH193"/>
    <mergeCell ref="A196:B196"/>
    <mergeCell ref="C196:BH196"/>
    <mergeCell ref="A195:W195"/>
    <mergeCell ref="AW195:AY195"/>
    <mergeCell ref="BA195:BE195"/>
    <mergeCell ref="BF195:BH195"/>
    <mergeCell ref="A188:B188"/>
    <mergeCell ref="C188:AZ188"/>
    <mergeCell ref="BA188:BH188"/>
    <mergeCell ref="A189:W189"/>
    <mergeCell ref="X189:AA189"/>
    <mergeCell ref="AB189:AF189"/>
    <mergeCell ref="AH189:AL189"/>
    <mergeCell ref="AM189:AN189"/>
    <mergeCell ref="AP189:AS189"/>
    <mergeCell ref="AT189:AU189"/>
    <mergeCell ref="AW189:AZ189"/>
    <mergeCell ref="BA189:BH189"/>
    <mergeCell ref="A190:W191"/>
    <mergeCell ref="X190:AN190"/>
    <mergeCell ref="AP190:AS190"/>
    <mergeCell ref="AT190:AU190"/>
    <mergeCell ref="AW190:AZ190"/>
    <mergeCell ref="X191:Z191"/>
    <mergeCell ref="AB191:AS191"/>
    <mergeCell ref="BA191:BE191"/>
    <mergeCell ref="BF191:BH191"/>
    <mergeCell ref="A184:B184"/>
    <mergeCell ref="C184:AZ184"/>
    <mergeCell ref="BA184:BH184"/>
    <mergeCell ref="A185:W185"/>
    <mergeCell ref="X185:AA185"/>
    <mergeCell ref="AB185:AF185"/>
    <mergeCell ref="AH185:AL185"/>
    <mergeCell ref="AM185:AN185"/>
    <mergeCell ref="AP185:AS185"/>
    <mergeCell ref="A186:W187"/>
    <mergeCell ref="X186:Z186"/>
    <mergeCell ref="AB186:AS186"/>
    <mergeCell ref="AT186:AU186"/>
    <mergeCell ref="AW186:AZ186"/>
    <mergeCell ref="BA186:BE186"/>
    <mergeCell ref="AP181:AS181"/>
    <mergeCell ref="AT181:AU181"/>
    <mergeCell ref="X187:Z187"/>
    <mergeCell ref="AB187:AZ187"/>
    <mergeCell ref="BA187:BE187"/>
    <mergeCell ref="BF187:BH187"/>
    <mergeCell ref="AT185:AU185"/>
    <mergeCell ref="AW185:AZ185"/>
    <mergeCell ref="BA185:BH185"/>
    <mergeCell ref="BF186:BH186"/>
    <mergeCell ref="BF182:BH182"/>
    <mergeCell ref="X183:Z183"/>
    <mergeCell ref="A180:B180"/>
    <mergeCell ref="C180:AZ180"/>
    <mergeCell ref="BA180:BH180"/>
    <mergeCell ref="A181:W181"/>
    <mergeCell ref="X181:AA181"/>
    <mergeCell ref="AB181:AF181"/>
    <mergeCell ref="AH181:AL181"/>
    <mergeCell ref="AM181:AN181"/>
    <mergeCell ref="AP177:AS177"/>
    <mergeCell ref="AT177:AU177"/>
    <mergeCell ref="AW181:AZ181"/>
    <mergeCell ref="BA181:BH181"/>
    <mergeCell ref="A182:W183"/>
    <mergeCell ref="X182:Z182"/>
    <mergeCell ref="AB182:AS182"/>
    <mergeCell ref="AT182:AU182"/>
    <mergeCell ref="AW182:AZ182"/>
    <mergeCell ref="BA182:BE182"/>
    <mergeCell ref="BF178:BH178"/>
    <mergeCell ref="X179:Z179"/>
    <mergeCell ref="AB183:AZ183"/>
    <mergeCell ref="BA183:BE183"/>
    <mergeCell ref="BF183:BH183"/>
    <mergeCell ref="A177:W177"/>
    <mergeCell ref="X177:AA177"/>
    <mergeCell ref="AB177:AF177"/>
    <mergeCell ref="AH177:AL177"/>
    <mergeCell ref="AM177:AN177"/>
    <mergeCell ref="AB175:AZ175"/>
    <mergeCell ref="BA175:BE175"/>
    <mergeCell ref="AW177:AZ177"/>
    <mergeCell ref="BA177:BH177"/>
    <mergeCell ref="A178:W179"/>
    <mergeCell ref="X178:Z178"/>
    <mergeCell ref="AB178:AS178"/>
    <mergeCell ref="AT178:AU178"/>
    <mergeCell ref="AW178:AZ178"/>
    <mergeCell ref="BA178:BE178"/>
    <mergeCell ref="AF174:AH174"/>
    <mergeCell ref="AJ174:AZ174"/>
    <mergeCell ref="AB179:AZ179"/>
    <mergeCell ref="BA179:BE179"/>
    <mergeCell ref="BF179:BH179"/>
    <mergeCell ref="A175:B175"/>
    <mergeCell ref="D175:H175"/>
    <mergeCell ref="R175:S175"/>
    <mergeCell ref="U175:W175"/>
    <mergeCell ref="X175:Z175"/>
    <mergeCell ref="BA176:BH176"/>
    <mergeCell ref="A174:W174"/>
    <mergeCell ref="X174:Z174"/>
    <mergeCell ref="BA174:BE174"/>
    <mergeCell ref="X172:AN172"/>
    <mergeCell ref="AP172:AS172"/>
    <mergeCell ref="A176:B176"/>
    <mergeCell ref="C176:AZ176"/>
    <mergeCell ref="BF175:BH175"/>
    <mergeCell ref="BF174:BH174"/>
    <mergeCell ref="A170:B170"/>
    <mergeCell ref="C170:AZ170"/>
    <mergeCell ref="BA170:BH170"/>
    <mergeCell ref="A171:W171"/>
    <mergeCell ref="X171:AA171"/>
    <mergeCell ref="AB171:AF171"/>
    <mergeCell ref="AH171:AL171"/>
    <mergeCell ref="AM171:AN171"/>
    <mergeCell ref="AP171:AS171"/>
    <mergeCell ref="AT171:AU171"/>
    <mergeCell ref="AW171:AZ171"/>
    <mergeCell ref="BA171:BH171"/>
    <mergeCell ref="A172:W173"/>
    <mergeCell ref="X173:Z173"/>
    <mergeCell ref="AB173:AS173"/>
    <mergeCell ref="AT172:AU172"/>
    <mergeCell ref="AW172:AZ172"/>
    <mergeCell ref="BA173:BE173"/>
    <mergeCell ref="BF173:BH173"/>
    <mergeCell ref="BA172:BH172"/>
    <mergeCell ref="BA168:BE168"/>
    <mergeCell ref="BF168:BH168"/>
    <mergeCell ref="X169:Z169"/>
    <mergeCell ref="AB169:AZ169"/>
    <mergeCell ref="BA169:BE169"/>
    <mergeCell ref="BF169:BH169"/>
    <mergeCell ref="X168:Z168"/>
    <mergeCell ref="AB168:AS168"/>
    <mergeCell ref="AT168:AU168"/>
    <mergeCell ref="AW168:AZ168"/>
    <mergeCell ref="AB162:AZ162"/>
    <mergeCell ref="BA162:BE162"/>
    <mergeCell ref="BF162:BH162"/>
    <mergeCell ref="AW163:AY163"/>
    <mergeCell ref="BA163:BE163"/>
    <mergeCell ref="A164:W164"/>
    <mergeCell ref="AW164:AY164"/>
    <mergeCell ref="BA164:BE164"/>
    <mergeCell ref="A168:W169"/>
    <mergeCell ref="A162:B162"/>
    <mergeCell ref="D162:H162"/>
    <mergeCell ref="R162:S162"/>
    <mergeCell ref="U162:W162"/>
    <mergeCell ref="X162:Z162"/>
    <mergeCell ref="A165:B165"/>
    <mergeCell ref="C165:BH165"/>
    <mergeCell ref="A166:B166"/>
    <mergeCell ref="C166:AZ166"/>
    <mergeCell ref="BA166:BH166"/>
    <mergeCell ref="BF164:BH164"/>
    <mergeCell ref="AM167:AN167"/>
    <mergeCell ref="AP167:AS167"/>
    <mergeCell ref="AT167:AU167"/>
    <mergeCell ref="AW167:AZ167"/>
    <mergeCell ref="A167:W167"/>
    <mergeCell ref="X167:AA167"/>
    <mergeCell ref="AB167:AF167"/>
    <mergeCell ref="AH167:AL167"/>
    <mergeCell ref="BA167:BH167"/>
    <mergeCell ref="A159:W161"/>
    <mergeCell ref="X159:Z159"/>
    <mergeCell ref="AB159:AE159"/>
    <mergeCell ref="AF159:AJ159"/>
    <mergeCell ref="AL159:AP159"/>
    <mergeCell ref="BA159:BE159"/>
    <mergeCell ref="BF159:BH159"/>
    <mergeCell ref="X160:Z160"/>
    <mergeCell ref="AB160:AE160"/>
    <mergeCell ref="X161:Z161"/>
    <mergeCell ref="AB161:AZ161"/>
    <mergeCell ref="BA161:BE161"/>
    <mergeCell ref="BF161:BH161"/>
    <mergeCell ref="AF160:AJ160"/>
    <mergeCell ref="AL160:AP160"/>
    <mergeCell ref="BA160:BE160"/>
    <mergeCell ref="BF160:BH160"/>
    <mergeCell ref="X156:Z156"/>
    <mergeCell ref="AB156:AZ156"/>
    <mergeCell ref="BA156:BE156"/>
    <mergeCell ref="BF156:BH156"/>
    <mergeCell ref="A156:B156"/>
    <mergeCell ref="D156:H156"/>
    <mergeCell ref="R156:S156"/>
    <mergeCell ref="U156:W156"/>
    <mergeCell ref="A157:B157"/>
    <mergeCell ref="C157:AZ157"/>
    <mergeCell ref="BA157:BH157"/>
    <mergeCell ref="A158:W158"/>
    <mergeCell ref="X158:AA158"/>
    <mergeCell ref="AB158:AF158"/>
    <mergeCell ref="AH158:AL158"/>
    <mergeCell ref="AM158:AN158"/>
    <mergeCell ref="AP158:AS158"/>
    <mergeCell ref="AT158:AU158"/>
    <mergeCell ref="A151:B151"/>
    <mergeCell ref="C151:AZ151"/>
    <mergeCell ref="BA151:BH151"/>
    <mergeCell ref="A152:W152"/>
    <mergeCell ref="X152:AA152"/>
    <mergeCell ref="AB152:AF152"/>
    <mergeCell ref="AH152:AL152"/>
    <mergeCell ref="AM152:AN152"/>
    <mergeCell ref="AP152:AS152"/>
    <mergeCell ref="AT152:AU152"/>
    <mergeCell ref="AW152:AZ152"/>
    <mergeCell ref="BA152:BH152"/>
    <mergeCell ref="AW158:AZ158"/>
    <mergeCell ref="BA158:BH158"/>
    <mergeCell ref="A153:W155"/>
    <mergeCell ref="X153:Z153"/>
    <mergeCell ref="AB153:AE153"/>
    <mergeCell ref="AF153:AJ153"/>
    <mergeCell ref="X155:Z155"/>
    <mergeCell ref="AB155:AZ155"/>
    <mergeCell ref="BF153:BH153"/>
    <mergeCell ref="X154:Z154"/>
    <mergeCell ref="AB154:AE154"/>
    <mergeCell ref="AF154:AJ154"/>
    <mergeCell ref="AL154:AP154"/>
    <mergeCell ref="BA154:BE154"/>
    <mergeCell ref="BF154:BH154"/>
    <mergeCell ref="BA155:BE155"/>
    <mergeCell ref="BF155:BH155"/>
    <mergeCell ref="AL147:AP147"/>
    <mergeCell ref="BA147:BE147"/>
    <mergeCell ref="BF147:BH147"/>
    <mergeCell ref="BA148:BE148"/>
    <mergeCell ref="BF148:BH148"/>
    <mergeCell ref="BF149:BH149"/>
    <mergeCell ref="AL153:AP153"/>
    <mergeCell ref="BA153:BE153"/>
    <mergeCell ref="A150:B150"/>
    <mergeCell ref="D150:H150"/>
    <mergeCell ref="R150:S150"/>
    <mergeCell ref="U150:W150"/>
    <mergeCell ref="X148:Z148"/>
    <mergeCell ref="AB148:AE148"/>
    <mergeCell ref="X144:Z144"/>
    <mergeCell ref="AB144:AZ144"/>
    <mergeCell ref="BA144:BE144"/>
    <mergeCell ref="BF144:BH144"/>
    <mergeCell ref="X150:Z150"/>
    <mergeCell ref="AB150:AZ150"/>
    <mergeCell ref="BA150:BE150"/>
    <mergeCell ref="BF150:BH150"/>
    <mergeCell ref="AF148:AJ148"/>
    <mergeCell ref="AL148:AP148"/>
    <mergeCell ref="AB146:AF146"/>
    <mergeCell ref="AH146:AL146"/>
    <mergeCell ref="AM146:AN146"/>
    <mergeCell ref="AP146:AS146"/>
    <mergeCell ref="AT146:AU146"/>
    <mergeCell ref="BF143:BH143"/>
    <mergeCell ref="BF138:BH138"/>
    <mergeCell ref="BA139:BE139"/>
    <mergeCell ref="BF139:BH139"/>
    <mergeCell ref="A145:B145"/>
    <mergeCell ref="C145:AZ145"/>
    <mergeCell ref="BA145:BH145"/>
    <mergeCell ref="A144:B144"/>
    <mergeCell ref="D144:H144"/>
    <mergeCell ref="R144:S144"/>
    <mergeCell ref="U144:W144"/>
    <mergeCell ref="AB139:AE139"/>
    <mergeCell ref="AF139:AJ139"/>
    <mergeCell ref="AL139:AP139"/>
    <mergeCell ref="AW146:AZ146"/>
    <mergeCell ref="BA146:BH146"/>
    <mergeCell ref="AL138:AP138"/>
    <mergeCell ref="AQ138:AR138"/>
    <mergeCell ref="AS138:AU138"/>
    <mergeCell ref="AW138:AZ138"/>
    <mergeCell ref="BA138:BE138"/>
    <mergeCell ref="BA149:BE149"/>
    <mergeCell ref="X143:Z143"/>
    <mergeCell ref="BA143:BE143"/>
    <mergeCell ref="AB140:AZ140"/>
    <mergeCell ref="BF140:BH140"/>
    <mergeCell ref="A141:W141"/>
    <mergeCell ref="AE141:AF141"/>
    <mergeCell ref="AK141:AL141"/>
    <mergeCell ref="AN141:AY141"/>
    <mergeCell ref="A138:W140"/>
    <mergeCell ref="AH26:AO26"/>
    <mergeCell ref="AP26:AU26"/>
    <mergeCell ref="AV26:BH26"/>
    <mergeCell ref="X142:Z142"/>
    <mergeCell ref="AB143:AZ143"/>
    <mergeCell ref="BA142:BE142"/>
    <mergeCell ref="X138:Z138"/>
    <mergeCell ref="AB138:AE138"/>
    <mergeCell ref="AF138:AJ138"/>
    <mergeCell ref="X139:Z139"/>
    <mergeCell ref="AK142:AL142"/>
    <mergeCell ref="AN142:AY142"/>
    <mergeCell ref="X140:Z140"/>
    <mergeCell ref="BA140:BE140"/>
    <mergeCell ref="X141:Z141"/>
    <mergeCell ref="BA141:BE141"/>
    <mergeCell ref="AH141:AJ141"/>
    <mergeCell ref="AH142:AJ142"/>
    <mergeCell ref="AB141:AD141"/>
    <mergeCell ref="AB142:AD142"/>
    <mergeCell ref="A147:W149"/>
    <mergeCell ref="X147:Z147"/>
    <mergeCell ref="AB147:AE147"/>
    <mergeCell ref="AF147:AJ147"/>
    <mergeCell ref="A142:W142"/>
    <mergeCell ref="AE142:AF142"/>
    <mergeCell ref="AB149:AZ149"/>
    <mergeCell ref="X149:Z149"/>
    <mergeCell ref="A146:W146"/>
    <mergeCell ref="X146:AA146"/>
    <mergeCell ref="A136:B136"/>
    <mergeCell ref="C136:AZ136"/>
    <mergeCell ref="BA136:BH136"/>
    <mergeCell ref="A137:W137"/>
    <mergeCell ref="X137:AA137"/>
    <mergeCell ref="AB137:AF137"/>
    <mergeCell ref="AH137:AL137"/>
    <mergeCell ref="AM137:AN137"/>
    <mergeCell ref="AP137:AS137"/>
    <mergeCell ref="AT137:AU137"/>
    <mergeCell ref="AW137:AZ137"/>
    <mergeCell ref="BA137:BH137"/>
    <mergeCell ref="AT133:AU133"/>
    <mergeCell ref="AW133:AZ133"/>
    <mergeCell ref="BA133:BH133"/>
    <mergeCell ref="AW134:AZ134"/>
    <mergeCell ref="BA134:BE134"/>
    <mergeCell ref="BF134:BH134"/>
    <mergeCell ref="AB135:AZ135"/>
    <mergeCell ref="BA135:BE135"/>
    <mergeCell ref="BA127:BH127"/>
    <mergeCell ref="A135:P135"/>
    <mergeCell ref="R135:S135"/>
    <mergeCell ref="U135:W135"/>
    <mergeCell ref="X135:Z135"/>
    <mergeCell ref="A134:W134"/>
    <mergeCell ref="X134:Z134"/>
    <mergeCell ref="AB134:AS134"/>
    <mergeCell ref="AT134:AU134"/>
    <mergeCell ref="AB130:AZ130"/>
    <mergeCell ref="BF135:BH135"/>
    <mergeCell ref="A127:W127"/>
    <mergeCell ref="X127:AA127"/>
    <mergeCell ref="AB127:AF127"/>
    <mergeCell ref="AH127:AL127"/>
    <mergeCell ref="AM127:AN127"/>
    <mergeCell ref="AP127:AS127"/>
    <mergeCell ref="AT127:AU127"/>
    <mergeCell ref="AW127:AZ127"/>
    <mergeCell ref="BA128:BE128"/>
    <mergeCell ref="BF128:BH128"/>
    <mergeCell ref="X129:Z129"/>
    <mergeCell ref="AB129:AE129"/>
    <mergeCell ref="AL129:AP129"/>
    <mergeCell ref="BA129:BE129"/>
    <mergeCell ref="BF129:BH129"/>
    <mergeCell ref="AF129:AJ129"/>
    <mergeCell ref="X128:Z128"/>
    <mergeCell ref="AB128:AE128"/>
    <mergeCell ref="BA130:BE130"/>
    <mergeCell ref="BF130:BH130"/>
    <mergeCell ref="C114:BH114"/>
    <mergeCell ref="A115:B115"/>
    <mergeCell ref="C115:AZ115"/>
    <mergeCell ref="BA115:BH115"/>
    <mergeCell ref="A116:W116"/>
    <mergeCell ref="X116:AA116"/>
    <mergeCell ref="AB116:AF116"/>
    <mergeCell ref="AH116:AL116"/>
    <mergeCell ref="BF117:BH117"/>
    <mergeCell ref="X118:Z118"/>
    <mergeCell ref="AB118:AE118"/>
    <mergeCell ref="AF118:AJ118"/>
    <mergeCell ref="AM116:AN116"/>
    <mergeCell ref="AP116:AS116"/>
    <mergeCell ref="AT116:AU116"/>
    <mergeCell ref="AW116:AZ116"/>
    <mergeCell ref="BF118:BH118"/>
    <mergeCell ref="X119:Z119"/>
    <mergeCell ref="AB119:AZ119"/>
    <mergeCell ref="BA119:BE119"/>
    <mergeCell ref="BA116:BH116"/>
    <mergeCell ref="A117:W119"/>
    <mergeCell ref="X117:Z117"/>
    <mergeCell ref="AB117:AE117"/>
    <mergeCell ref="AL117:AP117"/>
    <mergeCell ref="BA117:BE117"/>
    <mergeCell ref="AN95:AY95"/>
    <mergeCell ref="AN96:AY96"/>
    <mergeCell ref="BA95:BE95"/>
    <mergeCell ref="AK95:AL95"/>
    <mergeCell ref="AK96:AL96"/>
    <mergeCell ref="AL118:AP118"/>
    <mergeCell ref="BA118:BE118"/>
    <mergeCell ref="AS100:AU100"/>
    <mergeCell ref="BA101:BE101"/>
    <mergeCell ref="BA99:BH99"/>
    <mergeCell ref="BA97:BE97"/>
    <mergeCell ref="BF97:BH97"/>
    <mergeCell ref="AB94:AZ94"/>
    <mergeCell ref="BA94:BE94"/>
    <mergeCell ref="BF94:BH94"/>
    <mergeCell ref="AH95:AJ95"/>
    <mergeCell ref="AH96:AJ96"/>
    <mergeCell ref="AB95:AD95"/>
    <mergeCell ref="BA96:BE96"/>
    <mergeCell ref="AE96:AF96"/>
    <mergeCell ref="X98:Z98"/>
    <mergeCell ref="AB98:AZ98"/>
    <mergeCell ref="BA98:BE98"/>
    <mergeCell ref="BF98:BH98"/>
    <mergeCell ref="A98:B98"/>
    <mergeCell ref="D98:H98"/>
    <mergeCell ref="R98:S98"/>
    <mergeCell ref="U98:W98"/>
    <mergeCell ref="A84:W84"/>
    <mergeCell ref="X84:AA84"/>
    <mergeCell ref="AB84:AF84"/>
    <mergeCell ref="AH84:AL84"/>
    <mergeCell ref="BF82:BH82"/>
    <mergeCell ref="A83:B83"/>
    <mergeCell ref="C83:AZ83"/>
    <mergeCell ref="BA83:BH83"/>
    <mergeCell ref="AW87:AY87"/>
    <mergeCell ref="BA87:BE87"/>
    <mergeCell ref="A88:W88"/>
    <mergeCell ref="BA88:BE88"/>
    <mergeCell ref="BF88:BH88"/>
    <mergeCell ref="A86:P86"/>
    <mergeCell ref="R86:S86"/>
    <mergeCell ref="U86:W86"/>
    <mergeCell ref="X86:Z86"/>
    <mergeCell ref="BF75:BH75"/>
    <mergeCell ref="A75:B75"/>
    <mergeCell ref="D75:H75"/>
    <mergeCell ref="R75:S75"/>
    <mergeCell ref="U75:W75"/>
    <mergeCell ref="BA84:BH84"/>
    <mergeCell ref="AM84:AN84"/>
    <mergeCell ref="AP84:AS84"/>
    <mergeCell ref="AT84:AU84"/>
    <mergeCell ref="AW84:AZ84"/>
    <mergeCell ref="AW76:AY76"/>
    <mergeCell ref="BA76:BE76"/>
    <mergeCell ref="A77:W77"/>
    <mergeCell ref="AW77:AY77"/>
    <mergeCell ref="BA77:BE77"/>
    <mergeCell ref="X75:Z75"/>
    <mergeCell ref="AB75:AZ75"/>
    <mergeCell ref="BA75:BE75"/>
    <mergeCell ref="BF77:BH77"/>
    <mergeCell ref="A51:B51"/>
    <mergeCell ref="A78:B78"/>
    <mergeCell ref="C78:BH78"/>
    <mergeCell ref="I75:N75"/>
    <mergeCell ref="I69:N69"/>
    <mergeCell ref="I63:N63"/>
    <mergeCell ref="I57:N57"/>
    <mergeCell ref="A72:W74"/>
    <mergeCell ref="X72:Z72"/>
    <mergeCell ref="BA73:BE73"/>
    <mergeCell ref="BF73:BH73"/>
    <mergeCell ref="AB72:AE72"/>
    <mergeCell ref="AL72:AP72"/>
    <mergeCell ref="AQ72:AR72"/>
    <mergeCell ref="AS72:AU72"/>
    <mergeCell ref="X74:Z74"/>
    <mergeCell ref="AB74:AZ74"/>
    <mergeCell ref="BA74:BE74"/>
    <mergeCell ref="BF74:BH74"/>
    <mergeCell ref="AW72:AZ72"/>
    <mergeCell ref="BA72:BE72"/>
    <mergeCell ref="BF72:BH72"/>
    <mergeCell ref="X73:Z73"/>
    <mergeCell ref="AB73:AE73"/>
    <mergeCell ref="AL73:AP73"/>
    <mergeCell ref="X69:Z69"/>
    <mergeCell ref="AB69:AZ69"/>
    <mergeCell ref="BA69:BE69"/>
    <mergeCell ref="BF69:BH69"/>
    <mergeCell ref="A69:B69"/>
    <mergeCell ref="D69:H69"/>
    <mergeCell ref="R69:S69"/>
    <mergeCell ref="U69:W69"/>
    <mergeCell ref="AF73:AJ73"/>
    <mergeCell ref="A70:B70"/>
    <mergeCell ref="C70:AZ70"/>
    <mergeCell ref="BA70:BH70"/>
    <mergeCell ref="A71:W71"/>
    <mergeCell ref="X71:AA71"/>
    <mergeCell ref="AB71:AF71"/>
    <mergeCell ref="AH71:AL71"/>
    <mergeCell ref="AM71:AN71"/>
    <mergeCell ref="AP71:AS71"/>
    <mergeCell ref="AM65:AN65"/>
    <mergeCell ref="AP65:AS65"/>
    <mergeCell ref="AT65:AU65"/>
    <mergeCell ref="AW71:AZ71"/>
    <mergeCell ref="BA71:BH71"/>
    <mergeCell ref="AF72:AJ72"/>
    <mergeCell ref="AT71:AU71"/>
    <mergeCell ref="AS66:AU66"/>
    <mergeCell ref="AW66:AZ66"/>
    <mergeCell ref="BA66:BE66"/>
    <mergeCell ref="A64:B64"/>
    <mergeCell ref="C64:AZ64"/>
    <mergeCell ref="BA64:BH64"/>
    <mergeCell ref="A65:W65"/>
    <mergeCell ref="X65:AA65"/>
    <mergeCell ref="AB65:AF65"/>
    <mergeCell ref="AH65:AL65"/>
    <mergeCell ref="BF67:BH67"/>
    <mergeCell ref="AF66:AJ66"/>
    <mergeCell ref="AF67:AJ67"/>
    <mergeCell ref="AW65:AZ65"/>
    <mergeCell ref="BA65:BH65"/>
    <mergeCell ref="A66:W68"/>
    <mergeCell ref="X66:Z66"/>
    <mergeCell ref="AB66:AE66"/>
    <mergeCell ref="AL66:AP66"/>
    <mergeCell ref="AQ66:AR66"/>
    <mergeCell ref="AS60:AU60"/>
    <mergeCell ref="X68:Z68"/>
    <mergeCell ref="AB68:AZ68"/>
    <mergeCell ref="BA68:BE68"/>
    <mergeCell ref="BF68:BH68"/>
    <mergeCell ref="BF66:BH66"/>
    <mergeCell ref="X67:Z67"/>
    <mergeCell ref="AB67:AE67"/>
    <mergeCell ref="AL67:AP67"/>
    <mergeCell ref="BA67:BE67"/>
    <mergeCell ref="BA62:BE62"/>
    <mergeCell ref="BF62:BH62"/>
    <mergeCell ref="BA60:BE60"/>
    <mergeCell ref="BF60:BH60"/>
    <mergeCell ref="X61:Z61"/>
    <mergeCell ref="AB61:AE61"/>
    <mergeCell ref="AL61:AP61"/>
    <mergeCell ref="BA61:BE61"/>
    <mergeCell ref="BF61:BH61"/>
    <mergeCell ref="AQ60:AR60"/>
    <mergeCell ref="BA63:BE63"/>
    <mergeCell ref="BF63:BH63"/>
    <mergeCell ref="A63:B63"/>
    <mergeCell ref="D63:H63"/>
    <mergeCell ref="R63:S63"/>
    <mergeCell ref="U63:W63"/>
    <mergeCell ref="A60:W62"/>
    <mergeCell ref="X60:Z60"/>
    <mergeCell ref="AB60:AE60"/>
    <mergeCell ref="AL60:AP60"/>
    <mergeCell ref="AF60:AJ60"/>
    <mergeCell ref="X63:Z63"/>
    <mergeCell ref="AB63:AZ63"/>
    <mergeCell ref="X62:Z62"/>
    <mergeCell ref="AB62:AZ62"/>
    <mergeCell ref="AW60:AZ60"/>
    <mergeCell ref="AT59:AU59"/>
    <mergeCell ref="BA52:BH52"/>
    <mergeCell ref="A54:W56"/>
    <mergeCell ref="C41:AZ41"/>
    <mergeCell ref="C45:AZ45"/>
    <mergeCell ref="BA41:BH41"/>
    <mergeCell ref="BA45:BH45"/>
    <mergeCell ref="AM53:AN53"/>
    <mergeCell ref="AP53:AS53"/>
    <mergeCell ref="AT53:AU53"/>
    <mergeCell ref="A59:W59"/>
    <mergeCell ref="X59:AA59"/>
    <mergeCell ref="AB59:AF59"/>
    <mergeCell ref="AH59:AL59"/>
    <mergeCell ref="AM59:AN59"/>
    <mergeCell ref="AP59:AS59"/>
    <mergeCell ref="AF55:AJ55"/>
    <mergeCell ref="BA57:BE57"/>
    <mergeCell ref="BF57:BH57"/>
    <mergeCell ref="A58:B58"/>
    <mergeCell ref="C58:AZ58"/>
    <mergeCell ref="BA58:BH58"/>
    <mergeCell ref="X54:Z54"/>
    <mergeCell ref="BA54:BE54"/>
    <mergeCell ref="BF54:BH54"/>
    <mergeCell ref="AW59:AZ59"/>
    <mergeCell ref="BA59:BH59"/>
    <mergeCell ref="AB54:AE54"/>
    <mergeCell ref="AB55:AE55"/>
    <mergeCell ref="AF54:AJ54"/>
    <mergeCell ref="AL54:AP54"/>
    <mergeCell ref="AL55:AP55"/>
    <mergeCell ref="BA50:BE50"/>
    <mergeCell ref="BF50:BH50"/>
    <mergeCell ref="AW50:AY50"/>
    <mergeCell ref="AW49:AY49"/>
    <mergeCell ref="BA49:BE49"/>
    <mergeCell ref="BA53:BH53"/>
    <mergeCell ref="AW53:AZ53"/>
    <mergeCell ref="A48:P48"/>
    <mergeCell ref="R48:S48"/>
    <mergeCell ref="U48:W48"/>
    <mergeCell ref="X48:Z48"/>
    <mergeCell ref="U40:W40"/>
    <mergeCell ref="R40:S40"/>
    <mergeCell ref="A40:P40"/>
    <mergeCell ref="A44:P44"/>
    <mergeCell ref="R44:S44"/>
    <mergeCell ref="U44:W44"/>
    <mergeCell ref="A41:B41"/>
    <mergeCell ref="AB46:AF46"/>
    <mergeCell ref="AH46:AL46"/>
    <mergeCell ref="AM46:AN46"/>
    <mergeCell ref="AP46:AS46"/>
    <mergeCell ref="AT46:AU46"/>
    <mergeCell ref="A42:W42"/>
    <mergeCell ref="A43:W43"/>
    <mergeCell ref="BA47:BE47"/>
    <mergeCell ref="BF47:BH47"/>
    <mergeCell ref="A50:W50"/>
    <mergeCell ref="A45:B45"/>
    <mergeCell ref="A46:W46"/>
    <mergeCell ref="X46:AA46"/>
    <mergeCell ref="AB48:AZ48"/>
    <mergeCell ref="BA48:BE48"/>
    <mergeCell ref="BF48:BH48"/>
    <mergeCell ref="AW46:AZ46"/>
    <mergeCell ref="X42:AA42"/>
    <mergeCell ref="AB42:AF42"/>
    <mergeCell ref="AH42:AL42"/>
    <mergeCell ref="AM42:AN42"/>
    <mergeCell ref="BA46:BH46"/>
    <mergeCell ref="A47:W47"/>
    <mergeCell ref="X47:Z47"/>
    <mergeCell ref="AB47:AS47"/>
    <mergeCell ref="AT47:AU47"/>
    <mergeCell ref="AW47:AZ47"/>
    <mergeCell ref="BF43:BH43"/>
    <mergeCell ref="X44:Z44"/>
    <mergeCell ref="AB44:AZ44"/>
    <mergeCell ref="BA44:BE44"/>
    <mergeCell ref="BF44:BH44"/>
    <mergeCell ref="X43:Z43"/>
    <mergeCell ref="AB43:AS43"/>
    <mergeCell ref="AT43:AU43"/>
    <mergeCell ref="AW43:AZ43"/>
    <mergeCell ref="AW38:AZ38"/>
    <mergeCell ref="A35:W35"/>
    <mergeCell ref="A38:W38"/>
    <mergeCell ref="A39:W39"/>
    <mergeCell ref="AT39:AU39"/>
    <mergeCell ref="BA43:BE43"/>
    <mergeCell ref="AP42:AS42"/>
    <mergeCell ref="AT42:AU42"/>
    <mergeCell ref="AW42:AZ42"/>
    <mergeCell ref="BA42:BH42"/>
    <mergeCell ref="X19:AJ19"/>
    <mergeCell ref="AL19:AN19"/>
    <mergeCell ref="AU19:AX19"/>
    <mergeCell ref="AZ19:BC19"/>
    <mergeCell ref="AW39:AZ39"/>
    <mergeCell ref="AB39:AS39"/>
    <mergeCell ref="X35:BB35"/>
    <mergeCell ref="C37:AZ37"/>
    <mergeCell ref="BA37:BH37"/>
    <mergeCell ref="AB38:AF38"/>
    <mergeCell ref="BE19:BH19"/>
    <mergeCell ref="T19:V19"/>
    <mergeCell ref="A19:M19"/>
    <mergeCell ref="X40:Z40"/>
    <mergeCell ref="AB40:AZ40"/>
    <mergeCell ref="AH30:AO30"/>
    <mergeCell ref="AP30:AU30"/>
    <mergeCell ref="AV30:BH30"/>
    <mergeCell ref="BF39:BH39"/>
    <mergeCell ref="BA40:BE40"/>
    <mergeCell ref="AU18:AX18"/>
    <mergeCell ref="BF40:BH40"/>
    <mergeCell ref="BA39:BE39"/>
    <mergeCell ref="BA38:BH38"/>
    <mergeCell ref="B27:AG27"/>
    <mergeCell ref="AH27:AO27"/>
    <mergeCell ref="C36:BH36"/>
    <mergeCell ref="A36:B36"/>
    <mergeCell ref="A37:B37"/>
    <mergeCell ref="X39:Z39"/>
    <mergeCell ref="U18:V18"/>
    <mergeCell ref="A20:L20"/>
    <mergeCell ref="M20:BH20"/>
    <mergeCell ref="N18:S18"/>
    <mergeCell ref="W17:AN17"/>
    <mergeCell ref="AO17:AS17"/>
    <mergeCell ref="BC17:BH17"/>
    <mergeCell ref="AT17:BB17"/>
    <mergeCell ref="AQ18:AS18"/>
    <mergeCell ref="BE18:BH18"/>
    <mergeCell ref="AH38:AL38"/>
    <mergeCell ref="AP38:AS38"/>
    <mergeCell ref="AM38:AN38"/>
    <mergeCell ref="B22:AG22"/>
    <mergeCell ref="AH22:AO22"/>
    <mergeCell ref="AP22:AU22"/>
    <mergeCell ref="B23:AG23"/>
    <mergeCell ref="X38:AA38"/>
    <mergeCell ref="AT38:AU38"/>
    <mergeCell ref="B26:AG26"/>
    <mergeCell ref="B30:AG30"/>
    <mergeCell ref="A17:P17"/>
    <mergeCell ref="Q17:U17"/>
    <mergeCell ref="AP27:AU27"/>
    <mergeCell ref="AV27:BH27"/>
    <mergeCell ref="B29:AG29"/>
    <mergeCell ref="AH29:AO29"/>
    <mergeCell ref="B28:BH28"/>
    <mergeCell ref="N19:S19"/>
    <mergeCell ref="AV22:BH22"/>
    <mergeCell ref="AD318:AU318"/>
    <mergeCell ref="AV318:BB318"/>
    <mergeCell ref="BC318:BH318"/>
    <mergeCell ref="A317:D317"/>
    <mergeCell ref="E317:AC317"/>
    <mergeCell ref="AD317:AP317"/>
    <mergeCell ref="AQ317:BB317"/>
    <mergeCell ref="BC317:BH317"/>
    <mergeCell ref="AD315:AU315"/>
    <mergeCell ref="AV315:BB315"/>
    <mergeCell ref="BC315:BH315"/>
    <mergeCell ref="A313:D314"/>
    <mergeCell ref="E313:AC314"/>
    <mergeCell ref="AD313:AP313"/>
    <mergeCell ref="AQ313:BB313"/>
    <mergeCell ref="BC313:BH313"/>
    <mergeCell ref="AD314:AP314"/>
    <mergeCell ref="AQ314:BB314"/>
    <mergeCell ref="BC314:BH314"/>
    <mergeCell ref="A312:D312"/>
    <mergeCell ref="E312:AC312"/>
    <mergeCell ref="AD312:AP312"/>
    <mergeCell ref="AQ312:BB312"/>
    <mergeCell ref="BC312:BH312"/>
    <mergeCell ref="X291:Z291"/>
    <mergeCell ref="A296:B296"/>
    <mergeCell ref="C296:BH296"/>
    <mergeCell ref="A297:B297"/>
    <mergeCell ref="C297:AZ297"/>
    <mergeCell ref="BA297:BH297"/>
    <mergeCell ref="BF295:BH295"/>
    <mergeCell ref="A293:B293"/>
    <mergeCell ref="D293:H293"/>
    <mergeCell ref="I293:N293"/>
    <mergeCell ref="BA286:BE286"/>
    <mergeCell ref="X287:Z287"/>
    <mergeCell ref="A299:W300"/>
    <mergeCell ref="X299:Z299"/>
    <mergeCell ref="AB299:AS299"/>
    <mergeCell ref="AT299:AU299"/>
    <mergeCell ref="A298:W298"/>
    <mergeCell ref="AF291:AJ291"/>
    <mergeCell ref="AF290:AJ290"/>
    <mergeCell ref="AQ290:AR290"/>
    <mergeCell ref="A268:B268"/>
    <mergeCell ref="D268:H268"/>
    <mergeCell ref="I268:N268"/>
    <mergeCell ref="R268:S268"/>
    <mergeCell ref="BF299:BH299"/>
    <mergeCell ref="A286:W286"/>
    <mergeCell ref="X286:Z286"/>
    <mergeCell ref="AE286:AF286"/>
    <mergeCell ref="AK286:AL286"/>
    <mergeCell ref="AN286:AY286"/>
    <mergeCell ref="BF267:BH267"/>
    <mergeCell ref="X266:Z266"/>
    <mergeCell ref="AB266:AE266"/>
    <mergeCell ref="AF266:AJ266"/>
    <mergeCell ref="U268:W268"/>
    <mergeCell ref="X268:Z268"/>
    <mergeCell ref="AB268:AZ268"/>
    <mergeCell ref="BA268:BE268"/>
    <mergeCell ref="A281:W281"/>
    <mergeCell ref="X281:AA281"/>
    <mergeCell ref="AB281:AF281"/>
    <mergeCell ref="AH281:AL281"/>
    <mergeCell ref="BF268:BH268"/>
    <mergeCell ref="BA266:BE266"/>
    <mergeCell ref="BF266:BH266"/>
    <mergeCell ref="X267:Z267"/>
    <mergeCell ref="AB267:AZ267"/>
    <mergeCell ref="BA267:BE267"/>
    <mergeCell ref="BF233:BH233"/>
    <mergeCell ref="X234:Z234"/>
    <mergeCell ref="AB234:AZ234"/>
    <mergeCell ref="BA234:BE234"/>
    <mergeCell ref="AF240:AJ240"/>
    <mergeCell ref="AL240:AP240"/>
    <mergeCell ref="AQ240:AR240"/>
    <mergeCell ref="AS240:AU240"/>
    <mergeCell ref="X241:Z241"/>
    <mergeCell ref="AB241:AE241"/>
    <mergeCell ref="AF241:AJ241"/>
    <mergeCell ref="AL241:AP241"/>
    <mergeCell ref="BA241:BE241"/>
    <mergeCell ref="A265:W267"/>
    <mergeCell ref="X265:Z265"/>
    <mergeCell ref="AW244:AY244"/>
    <mergeCell ref="BA244:BE244"/>
    <mergeCell ref="A245:W245"/>
    <mergeCell ref="AP239:AS239"/>
    <mergeCell ref="AT239:AU239"/>
    <mergeCell ref="AW239:AZ239"/>
    <mergeCell ref="BA239:BH239"/>
    <mergeCell ref="BA242:BE242"/>
    <mergeCell ref="AW240:AZ240"/>
    <mergeCell ref="BA240:BE240"/>
    <mergeCell ref="BF240:BH240"/>
    <mergeCell ref="U238:W238"/>
    <mergeCell ref="X238:Z238"/>
    <mergeCell ref="AB238:AZ238"/>
    <mergeCell ref="BA238:BE238"/>
    <mergeCell ref="AN236:AY236"/>
    <mergeCell ref="BA236:BE236"/>
    <mergeCell ref="X237:Z237"/>
    <mergeCell ref="AB237:AZ237"/>
    <mergeCell ref="BA237:BE237"/>
    <mergeCell ref="AK236:AL236"/>
    <mergeCell ref="A236:W236"/>
    <mergeCell ref="X236:Z236"/>
    <mergeCell ref="A239:W239"/>
    <mergeCell ref="X239:AA239"/>
    <mergeCell ref="AB239:AF239"/>
    <mergeCell ref="AH239:AL239"/>
    <mergeCell ref="A238:B238"/>
    <mergeCell ref="D238:H238"/>
    <mergeCell ref="I238:N238"/>
    <mergeCell ref="R238:S238"/>
    <mergeCell ref="BA281:BH281"/>
    <mergeCell ref="AL282:AP282"/>
    <mergeCell ref="AQ282:AR282"/>
    <mergeCell ref="AS282:AU282"/>
    <mergeCell ref="AW282:AZ282"/>
    <mergeCell ref="A240:W242"/>
    <mergeCell ref="X240:Z240"/>
    <mergeCell ref="AB240:AE240"/>
    <mergeCell ref="BF241:BH241"/>
    <mergeCell ref="X242:Z242"/>
    <mergeCell ref="A261:W261"/>
    <mergeCell ref="X261:Z261"/>
    <mergeCell ref="AE261:AF261"/>
    <mergeCell ref="AK261:AL261"/>
    <mergeCell ref="BA282:BE282"/>
    <mergeCell ref="BF282:BH282"/>
    <mergeCell ref="AM281:AN281"/>
    <mergeCell ref="AP281:AS281"/>
    <mergeCell ref="AT281:AU281"/>
    <mergeCell ref="AW281:AZ281"/>
    <mergeCell ref="AW269:AY269"/>
    <mergeCell ref="BA269:BE269"/>
    <mergeCell ref="BF265:BH265"/>
    <mergeCell ref="AK260:AL260"/>
    <mergeCell ref="AB265:AE265"/>
    <mergeCell ref="AL265:AP265"/>
    <mergeCell ref="AQ265:AR265"/>
    <mergeCell ref="AS265:AU265"/>
    <mergeCell ref="AW265:AZ265"/>
    <mergeCell ref="BA265:BE265"/>
    <mergeCell ref="X105:Z105"/>
    <mergeCell ref="AB105:AZ105"/>
    <mergeCell ref="BA105:BE105"/>
    <mergeCell ref="BF105:BH105"/>
    <mergeCell ref="AL266:AP266"/>
    <mergeCell ref="AF265:AJ265"/>
    <mergeCell ref="BF237:BH237"/>
    <mergeCell ref="BF238:BH238"/>
    <mergeCell ref="AB242:AZ242"/>
    <mergeCell ref="AM239:AN239"/>
    <mergeCell ref="A96:W96"/>
    <mergeCell ref="AE95:AF95"/>
    <mergeCell ref="I98:N98"/>
    <mergeCell ref="A92:W94"/>
    <mergeCell ref="A95:W95"/>
    <mergeCell ref="X97:Z97"/>
    <mergeCell ref="AB96:AD96"/>
    <mergeCell ref="X95:Z95"/>
    <mergeCell ref="X92:Z92"/>
    <mergeCell ref="AB92:AE92"/>
    <mergeCell ref="BF234:BH234"/>
    <mergeCell ref="A235:W235"/>
    <mergeCell ref="X235:Z235"/>
    <mergeCell ref="AE235:AF235"/>
    <mergeCell ref="AK235:AL235"/>
    <mergeCell ref="AN235:AY235"/>
    <mergeCell ref="BA235:BE235"/>
    <mergeCell ref="X104:Z104"/>
    <mergeCell ref="AE104:AF104"/>
    <mergeCell ref="AK104:AL104"/>
    <mergeCell ref="AN104:AY104"/>
    <mergeCell ref="BA104:BE104"/>
    <mergeCell ref="BF92:BH92"/>
    <mergeCell ref="X93:Z93"/>
    <mergeCell ref="AB93:AE93"/>
    <mergeCell ref="AL93:AP93"/>
    <mergeCell ref="AL92:AP92"/>
    <mergeCell ref="AS92:AU92"/>
    <mergeCell ref="AW88:AY88"/>
    <mergeCell ref="AF92:AJ92"/>
    <mergeCell ref="AK103:AL103"/>
    <mergeCell ref="AN103:AY103"/>
    <mergeCell ref="BA103:BE103"/>
    <mergeCell ref="AQ92:AR92"/>
    <mergeCell ref="AW92:AZ92"/>
    <mergeCell ref="BA92:BE92"/>
    <mergeCell ref="AB97:AZ97"/>
    <mergeCell ref="X81:Z81"/>
    <mergeCell ref="AB81:AS81"/>
    <mergeCell ref="AT81:AU81"/>
    <mergeCell ref="AW81:AZ81"/>
    <mergeCell ref="A79:B79"/>
    <mergeCell ref="C79:AZ79"/>
    <mergeCell ref="A80:W80"/>
    <mergeCell ref="X80:AA80"/>
    <mergeCell ref="AB80:AF80"/>
    <mergeCell ref="AH80:AL80"/>
    <mergeCell ref="A82:P82"/>
    <mergeCell ref="R82:S82"/>
    <mergeCell ref="U82:W82"/>
    <mergeCell ref="X82:Z82"/>
    <mergeCell ref="AB82:AZ82"/>
    <mergeCell ref="BA82:BE82"/>
    <mergeCell ref="A132:B132"/>
    <mergeCell ref="C132:AZ132"/>
    <mergeCell ref="BA132:BH132"/>
    <mergeCell ref="A133:W133"/>
    <mergeCell ref="X133:AA133"/>
    <mergeCell ref="AB133:AF133"/>
    <mergeCell ref="AH133:AL133"/>
    <mergeCell ref="AM133:AN133"/>
    <mergeCell ref="AP133:AS133"/>
    <mergeCell ref="X131:Z131"/>
    <mergeCell ref="AB131:AZ131"/>
    <mergeCell ref="BA131:BE131"/>
    <mergeCell ref="BF131:BH131"/>
    <mergeCell ref="A131:B131"/>
    <mergeCell ref="D131:H131"/>
    <mergeCell ref="R131:S131"/>
    <mergeCell ref="U131:W131"/>
    <mergeCell ref="I131:N131"/>
    <mergeCell ref="AF128:AJ128"/>
    <mergeCell ref="A120:B120"/>
    <mergeCell ref="D120:H120"/>
    <mergeCell ref="R120:S120"/>
    <mergeCell ref="U120:W120"/>
    <mergeCell ref="X120:Z120"/>
    <mergeCell ref="AB120:AZ120"/>
    <mergeCell ref="A128:W130"/>
    <mergeCell ref="AL128:AP128"/>
    <mergeCell ref="X130:Z130"/>
    <mergeCell ref="BA120:BE120"/>
    <mergeCell ref="BF120:BH120"/>
    <mergeCell ref="A126:B126"/>
    <mergeCell ref="AS108:AU108"/>
    <mergeCell ref="BF119:BH119"/>
    <mergeCell ref="C126:AZ126"/>
    <mergeCell ref="BA126:BH126"/>
    <mergeCell ref="A108:W110"/>
    <mergeCell ref="X108:Z108"/>
    <mergeCell ref="AB108:AE108"/>
    <mergeCell ref="AF123:AJ123"/>
    <mergeCell ref="AF122:AJ122"/>
    <mergeCell ref="AQ108:AR108"/>
    <mergeCell ref="AW108:AZ108"/>
    <mergeCell ref="AF117:AJ117"/>
    <mergeCell ref="A113:W113"/>
    <mergeCell ref="AW113:AY113"/>
    <mergeCell ref="AW112:AY112"/>
    <mergeCell ref="I120:N120"/>
    <mergeCell ref="X111:Z111"/>
    <mergeCell ref="BA112:BE112"/>
    <mergeCell ref="A114:B114"/>
    <mergeCell ref="BA93:BE93"/>
    <mergeCell ref="BF93:BH93"/>
    <mergeCell ref="X94:Z94"/>
    <mergeCell ref="BA113:BE113"/>
    <mergeCell ref="BF113:BH113"/>
    <mergeCell ref="X96:Z96"/>
    <mergeCell ref="AF93:AJ93"/>
    <mergeCell ref="A104:W104"/>
    <mergeCell ref="AB86:AZ86"/>
    <mergeCell ref="BA86:BE86"/>
    <mergeCell ref="A85:W85"/>
    <mergeCell ref="X85:Z85"/>
    <mergeCell ref="AB85:AS85"/>
    <mergeCell ref="AT85:AU85"/>
    <mergeCell ref="AW85:AZ85"/>
    <mergeCell ref="BA85:BE85"/>
    <mergeCell ref="BF85:BH85"/>
    <mergeCell ref="BF86:BH86"/>
    <mergeCell ref="A91:W91"/>
    <mergeCell ref="X91:AA91"/>
    <mergeCell ref="AB91:AF91"/>
    <mergeCell ref="AH91:AL91"/>
    <mergeCell ref="AM91:AN91"/>
    <mergeCell ref="AP91:AS91"/>
    <mergeCell ref="AT91:AU91"/>
    <mergeCell ref="AW91:AZ91"/>
    <mergeCell ref="BA91:BH91"/>
    <mergeCell ref="A89:B89"/>
    <mergeCell ref="C89:BH89"/>
    <mergeCell ref="A90:B90"/>
    <mergeCell ref="C90:AZ90"/>
    <mergeCell ref="BA90:BH90"/>
    <mergeCell ref="A81:W81"/>
    <mergeCell ref="C51:BH51"/>
    <mergeCell ref="A52:B52"/>
    <mergeCell ref="A53:W53"/>
    <mergeCell ref="X53:AA53"/>
    <mergeCell ref="AB53:AF53"/>
    <mergeCell ref="AH53:AL53"/>
    <mergeCell ref="AF61:AJ61"/>
    <mergeCell ref="BA81:BE81"/>
    <mergeCell ref="BF81:BH81"/>
    <mergeCell ref="X56:Z56"/>
    <mergeCell ref="AB56:AZ56"/>
    <mergeCell ref="BA56:BE56"/>
    <mergeCell ref="BF56:BH56"/>
    <mergeCell ref="AW80:AZ80"/>
    <mergeCell ref="BA80:BH80"/>
    <mergeCell ref="BA79:BH79"/>
    <mergeCell ref="AM80:AN80"/>
    <mergeCell ref="AP80:AS80"/>
    <mergeCell ref="AT80:AU80"/>
    <mergeCell ref="A57:B57"/>
    <mergeCell ref="D57:H57"/>
    <mergeCell ref="R57:S57"/>
    <mergeCell ref="U57:W57"/>
    <mergeCell ref="X57:Z57"/>
    <mergeCell ref="AB57:AZ57"/>
    <mergeCell ref="C52:AZ52"/>
    <mergeCell ref="A32:L32"/>
    <mergeCell ref="M32:BH32"/>
    <mergeCell ref="BC34:BH34"/>
    <mergeCell ref="X55:Z55"/>
    <mergeCell ref="BA55:BE55"/>
    <mergeCell ref="BF55:BH55"/>
    <mergeCell ref="A33:L33"/>
    <mergeCell ref="M33:BH33"/>
    <mergeCell ref="BC35:BH35"/>
    <mergeCell ref="AV9:AX9"/>
    <mergeCell ref="D7:M7"/>
    <mergeCell ref="N7:X7"/>
    <mergeCell ref="AK7:AT7"/>
    <mergeCell ref="AU7:BE7"/>
    <mergeCell ref="AA2:BH2"/>
    <mergeCell ref="D4:X4"/>
    <mergeCell ref="AK4:BE4"/>
    <mergeCell ref="D5:X5"/>
    <mergeCell ref="AK5:BE5"/>
    <mergeCell ref="AF12:BH12"/>
    <mergeCell ref="A13:BH13"/>
    <mergeCell ref="A15:L15"/>
    <mergeCell ref="M15:BH15"/>
    <mergeCell ref="AH23:AO23"/>
    <mergeCell ref="AP23:AU23"/>
    <mergeCell ref="AV23:BH23"/>
    <mergeCell ref="AZ18:BC18"/>
    <mergeCell ref="AL18:AN18"/>
    <mergeCell ref="X18:AJ18"/>
    <mergeCell ref="B25:AG25"/>
    <mergeCell ref="AH25:AO25"/>
    <mergeCell ref="D8:M8"/>
    <mergeCell ref="AK8:AT8"/>
    <mergeCell ref="E9:F9"/>
    <mergeCell ref="H9:M9"/>
    <mergeCell ref="O9:Q9"/>
    <mergeCell ref="AL9:AM9"/>
    <mergeCell ref="AO9:AT9"/>
    <mergeCell ref="A12:AE12"/>
    <mergeCell ref="AP25:AU25"/>
    <mergeCell ref="AV25:BH25"/>
    <mergeCell ref="A18:M18"/>
    <mergeCell ref="AP19:AS19"/>
    <mergeCell ref="AP29:AU29"/>
    <mergeCell ref="AV29:BH29"/>
    <mergeCell ref="B24:AG24"/>
    <mergeCell ref="AH24:AO24"/>
    <mergeCell ref="AP24:AU24"/>
    <mergeCell ref="AV24:BH24"/>
  </mergeCells>
  <phoneticPr fontId="23" type="noConversion"/>
  <pageMargins left="1.1417322834645669" right="0.39370078740157483" top="0.78740157480314965" bottom="0.78740157480314965" header="0.31496062992125984" footer="0.31496062992125984"/>
  <pageSetup paperSize="9" fitToWidth="0" fitToHeight="0" orientation="portrait" r:id="rId1"/>
  <headerFooter differentFirst="1">
    <oddHeader>&amp;C&amp;P</oddHeader>
  </headerFooter>
  <rowBreaks count="5" manualBreakCount="5">
    <brk id="31" max="59" man="1"/>
    <brk id="88" max="59" man="1"/>
    <brk id="144" max="59" man="1"/>
    <brk id="205" max="59" man="1"/>
    <brk id="263" max="5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C43"/>
  <sheetViews>
    <sheetView tabSelected="1" zoomScaleNormal="115" zoomScaleSheetLayoutView="85" workbookViewId="0">
      <selection activeCell="H4" sqref="H4"/>
    </sheetView>
  </sheetViews>
  <sheetFormatPr defaultRowHeight="12.75"/>
  <cols>
    <col min="1" max="1" width="3.42578125" style="10" customWidth="1"/>
    <col min="2" max="2" width="29.42578125" style="9" customWidth="1"/>
    <col min="3" max="3" width="7.5703125" style="127" customWidth="1"/>
    <col min="4" max="4" width="1.42578125" style="128" bestFit="1" customWidth="1"/>
    <col min="5" max="5" width="7.5703125" style="127" customWidth="1"/>
    <col min="6" max="6" width="5.7109375" style="53" bestFit="1" customWidth="1"/>
    <col min="7" max="7" width="5.7109375" bestFit="1" customWidth="1"/>
    <col min="8" max="8" width="7.5703125" customWidth="1"/>
    <col min="9" max="9" width="6.7109375" customWidth="1"/>
    <col min="10" max="10" width="7.140625" customWidth="1"/>
    <col min="11" max="11" width="6.85546875" customWidth="1"/>
    <col min="12" max="13" width="7.140625" customWidth="1"/>
    <col min="14" max="14" width="7" customWidth="1"/>
    <col min="15" max="15" width="7.28515625" customWidth="1"/>
    <col min="16" max="16" width="7.42578125" customWidth="1"/>
    <col min="17" max="17" width="7.140625" customWidth="1"/>
    <col min="18" max="18" width="7.42578125" customWidth="1"/>
    <col min="19" max="20" width="7.5703125" customWidth="1"/>
    <col min="21" max="21" width="6.7109375" customWidth="1"/>
    <col min="22" max="22" width="7.140625" customWidth="1"/>
    <col min="23" max="23" width="6.85546875" customWidth="1"/>
    <col min="24" max="25" width="7.140625" customWidth="1"/>
    <col min="26" max="26" width="7" customWidth="1"/>
  </cols>
  <sheetData>
    <row r="1" spans="1:29" s="52" customFormat="1" ht="33" customHeight="1">
      <c r="A1" s="54" t="s">
        <v>101</v>
      </c>
      <c r="B1" s="51" t="s">
        <v>105</v>
      </c>
      <c r="C1" s="121" t="s">
        <v>103</v>
      </c>
      <c r="D1" s="121" t="s">
        <v>1</v>
      </c>
      <c r="E1" s="122" t="s">
        <v>104</v>
      </c>
      <c r="F1" s="51" t="s">
        <v>106</v>
      </c>
      <c r="G1" s="51" t="s">
        <v>107</v>
      </c>
      <c r="H1" s="171">
        <v>45108</v>
      </c>
      <c r="I1" s="171">
        <v>45139</v>
      </c>
      <c r="J1" s="171">
        <v>45170</v>
      </c>
      <c r="K1" s="171">
        <v>45200</v>
      </c>
      <c r="L1" s="171">
        <v>45231</v>
      </c>
      <c r="M1" s="171">
        <v>45261</v>
      </c>
      <c r="N1" s="171">
        <v>45292</v>
      </c>
      <c r="O1" s="171">
        <v>45323</v>
      </c>
      <c r="P1" s="171">
        <v>45352</v>
      </c>
      <c r="Q1" s="171">
        <v>45383</v>
      </c>
      <c r="R1" s="171">
        <v>45413</v>
      </c>
      <c r="S1" s="171">
        <v>45444</v>
      </c>
      <c r="T1" s="171">
        <v>45474</v>
      </c>
      <c r="U1" s="171">
        <v>45505</v>
      </c>
      <c r="V1" s="171">
        <v>45536</v>
      </c>
      <c r="W1" s="171">
        <v>45566</v>
      </c>
      <c r="X1" s="171">
        <v>45597</v>
      </c>
      <c r="Y1" s="171">
        <v>45627</v>
      </c>
      <c r="Z1" s="171">
        <v>45658</v>
      </c>
    </row>
    <row r="2" spans="1:29" s="47" customFormat="1" ht="22.5" customHeight="1">
      <c r="A2" s="48"/>
      <c r="B2" s="452" t="s">
        <v>100</v>
      </c>
      <c r="C2" s="452"/>
      <c r="D2" s="452"/>
      <c r="E2" s="452"/>
      <c r="F2" s="452"/>
      <c r="G2" s="452"/>
      <c r="H2" s="77">
        <v>1.0085</v>
      </c>
      <c r="I2" s="77">
        <v>1.0085</v>
      </c>
      <c r="J2" s="77">
        <v>1.0085</v>
      </c>
      <c r="K2" s="77">
        <v>1.0085</v>
      </c>
      <c r="L2" s="77">
        <v>1.0085</v>
      </c>
      <c r="M2" s="77">
        <v>1.0085</v>
      </c>
      <c r="N2" s="146">
        <v>1.0076000000000001</v>
      </c>
      <c r="O2" s="146">
        <v>1.0076000000000001</v>
      </c>
      <c r="P2" s="146">
        <v>1.0076000000000001</v>
      </c>
      <c r="Q2" s="146">
        <v>1.0076000000000001</v>
      </c>
      <c r="R2" s="146">
        <v>1.0076000000000001</v>
      </c>
      <c r="S2" s="146">
        <v>1.0076000000000001</v>
      </c>
      <c r="T2" s="146">
        <v>1.0076000000000001</v>
      </c>
      <c r="U2" s="146">
        <v>1.0076000000000001</v>
      </c>
      <c r="V2" s="146">
        <v>1.0076000000000001</v>
      </c>
      <c r="W2" s="146">
        <v>1.0076000000000001</v>
      </c>
      <c r="X2" s="146">
        <v>1.0076000000000001</v>
      </c>
      <c r="Y2" s="147">
        <v>1.0076000000000001</v>
      </c>
      <c r="Z2" s="148">
        <v>1.0066999999999999</v>
      </c>
    </row>
    <row r="3" spans="1:29" s="20" customFormat="1">
      <c r="A3" s="64">
        <v>1</v>
      </c>
      <c r="B3" s="65" t="s">
        <v>81</v>
      </c>
      <c r="C3" s="123"/>
      <c r="D3" s="124"/>
      <c r="E3" s="123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</row>
    <row r="4" spans="1:29" ht="24" customHeight="1">
      <c r="A4" s="152" t="s">
        <v>0</v>
      </c>
      <c r="B4" s="59" t="s">
        <v>82</v>
      </c>
      <c r="C4" s="172">
        <f>J$1</f>
        <v>45170</v>
      </c>
      <c r="D4" s="173" t="s">
        <v>1</v>
      </c>
      <c r="E4" s="172">
        <f>K$1</f>
        <v>45200</v>
      </c>
      <c r="F4" s="72">
        <f ca="1">IF(C4,ROUND(PRODUCT(H$2:INDEX(H$2:Z$2,MATCH(C4,H$1:Z$1,)-1)),4),"")</f>
        <v>1.0170999999999999</v>
      </c>
      <c r="G4" s="74">
        <f ca="1">IF(E4,ROUND(PRODUCT(INDEX(H$2:Z$2,MATCH(C4,H$1:Z$1,)):INDEX(H$2:Z$2,MATCH(E4,H$1:Z$1,))),4),"")</f>
        <v>1.0170999999999999</v>
      </c>
      <c r="H4" s="174">
        <f>IF(H$1&lt;$C4,H$2,IF(H$1&lt;=$E4,H$2,""))</f>
        <v>1.0085</v>
      </c>
      <c r="I4" s="174">
        <f t="shared" ref="I4:X19" si="0">IF(I$1&lt;$C4,I$2,IF(I$1&lt;=$E4,I$2,""))</f>
        <v>1.0085</v>
      </c>
      <c r="J4" s="174">
        <f t="shared" si="0"/>
        <v>1.0085</v>
      </c>
      <c r="K4" s="174">
        <f t="shared" si="0"/>
        <v>1.0085</v>
      </c>
      <c r="L4" s="174" t="str">
        <f t="shared" si="0"/>
        <v/>
      </c>
      <c r="M4" s="174" t="str">
        <f t="shared" si="0"/>
        <v/>
      </c>
      <c r="N4" s="174" t="str">
        <f t="shared" si="0"/>
        <v/>
      </c>
      <c r="O4" s="174" t="str">
        <f t="shared" si="0"/>
        <v/>
      </c>
      <c r="P4" s="174" t="str">
        <f t="shared" si="0"/>
        <v/>
      </c>
      <c r="Q4" s="174" t="str">
        <f t="shared" si="0"/>
        <v/>
      </c>
      <c r="R4" s="174" t="str">
        <f t="shared" si="0"/>
        <v/>
      </c>
      <c r="S4" s="174" t="str">
        <f t="shared" si="0"/>
        <v/>
      </c>
      <c r="T4" s="174" t="str">
        <f t="shared" si="0"/>
        <v/>
      </c>
      <c r="U4" s="174" t="str">
        <f t="shared" si="0"/>
        <v/>
      </c>
      <c r="V4" s="174" t="str">
        <f t="shared" si="0"/>
        <v/>
      </c>
      <c r="W4" s="174" t="str">
        <f t="shared" si="0"/>
        <v/>
      </c>
      <c r="X4" s="174" t="str">
        <f t="shared" si="0"/>
        <v/>
      </c>
      <c r="Y4" s="174" t="str">
        <f t="shared" ref="Y4:Z19" si="1">IF(Y$1&lt;$C4,Y$2,IF(Y$1&lt;=$E4,Y$2,""))</f>
        <v/>
      </c>
      <c r="Z4" s="175" t="str">
        <f t="shared" si="1"/>
        <v/>
      </c>
      <c r="AB4" s="179"/>
      <c r="AC4" s="9"/>
    </row>
    <row r="5" spans="1:29" ht="24" customHeight="1">
      <c r="A5" s="153" t="s">
        <v>2</v>
      </c>
      <c r="B5" s="50" t="s">
        <v>83</v>
      </c>
      <c r="C5" s="172">
        <f>J$1</f>
        <v>45170</v>
      </c>
      <c r="D5" s="173" t="s">
        <v>1</v>
      </c>
      <c r="E5" s="172">
        <f>J$1</f>
        <v>45170</v>
      </c>
      <c r="F5" s="55">
        <f ca="1">IF(C5,ROUND(PRODUCT(H$2:INDEX(H$2:Z$2,MATCH(C5,H$1:Z$1,)-1)),4),"")</f>
        <v>1.0170999999999999</v>
      </c>
      <c r="G5" s="75">
        <f ca="1">IF(E5,ROUND(PRODUCT(INDEX(H$2:Z$2,MATCH(C5,H$1:Z$1,)):INDEX(H$2:Z$2,MATCH(E5,H$1:Z$1,))),4),"")</f>
        <v>1.0085</v>
      </c>
      <c r="H5" s="174">
        <f>IF(H$1&lt;$C5,H$2,IF(H$1&lt;=$E5,H$2,""))</f>
        <v>1.0085</v>
      </c>
      <c r="I5" s="174">
        <f t="shared" si="0"/>
        <v>1.0085</v>
      </c>
      <c r="J5" s="174">
        <f t="shared" si="0"/>
        <v>1.0085</v>
      </c>
      <c r="K5" s="174" t="str">
        <f t="shared" si="0"/>
        <v/>
      </c>
      <c r="L5" s="174" t="str">
        <f t="shared" si="0"/>
        <v/>
      </c>
      <c r="M5" s="174" t="str">
        <f t="shared" si="0"/>
        <v/>
      </c>
      <c r="N5" s="174" t="str">
        <f t="shared" si="0"/>
        <v/>
      </c>
      <c r="O5" s="174" t="str">
        <f t="shared" si="0"/>
        <v/>
      </c>
      <c r="P5" s="174" t="str">
        <f t="shared" si="0"/>
        <v/>
      </c>
      <c r="Q5" s="174" t="str">
        <f t="shared" si="0"/>
        <v/>
      </c>
      <c r="R5" s="174" t="str">
        <f t="shared" si="0"/>
        <v/>
      </c>
      <c r="S5" s="174" t="str">
        <f t="shared" si="0"/>
        <v/>
      </c>
      <c r="T5" s="174" t="str">
        <f t="shared" si="0"/>
        <v/>
      </c>
      <c r="U5" s="174" t="str">
        <f t="shared" si="0"/>
        <v/>
      </c>
      <c r="V5" s="174" t="str">
        <f t="shared" si="0"/>
        <v/>
      </c>
      <c r="W5" s="174" t="str">
        <f t="shared" si="0"/>
        <v/>
      </c>
      <c r="X5" s="174" t="str">
        <f t="shared" si="0"/>
        <v/>
      </c>
      <c r="Y5" s="174" t="str">
        <f t="shared" si="1"/>
        <v/>
      </c>
      <c r="Z5" s="177" t="str">
        <f t="shared" si="1"/>
        <v/>
      </c>
    </row>
    <row r="6" spans="1:29" ht="24" customHeight="1">
      <c r="A6" s="154" t="s">
        <v>84</v>
      </c>
      <c r="B6" s="57" t="s">
        <v>102</v>
      </c>
      <c r="C6" s="172">
        <f>J$1</f>
        <v>45170</v>
      </c>
      <c r="D6" s="173" t="s">
        <v>1</v>
      </c>
      <c r="E6" s="172">
        <f>K$1</f>
        <v>45200</v>
      </c>
      <c r="F6" s="73">
        <f ca="1">IF(C6,ROUND(PRODUCT(H$2:INDEX(H$2:Z$2,MATCH(C6,H$1:Z$1,)-1)),4),"")</f>
        <v>1.0170999999999999</v>
      </c>
      <c r="G6" s="76">
        <f ca="1">IF(E6,ROUND(PRODUCT(INDEX(H$2:Z$2,MATCH(C6,H$1:Z$1,)):INDEX(H$2:Z$2,MATCH(E6,H$1:Z$1,))),4),"")</f>
        <v>1.0170999999999999</v>
      </c>
      <c r="H6" s="174">
        <f>IF(H$1&lt;$C6,H$2,IF(H$1&lt;=$E6,H$2,""))</f>
        <v>1.0085</v>
      </c>
      <c r="I6" s="174">
        <f t="shared" si="0"/>
        <v>1.0085</v>
      </c>
      <c r="J6" s="174">
        <f t="shared" si="0"/>
        <v>1.0085</v>
      </c>
      <c r="K6" s="174">
        <f t="shared" si="0"/>
        <v>1.0085</v>
      </c>
      <c r="L6" s="174" t="str">
        <f t="shared" si="0"/>
        <v/>
      </c>
      <c r="M6" s="174" t="str">
        <f t="shared" si="0"/>
        <v/>
      </c>
      <c r="N6" s="174" t="str">
        <f t="shared" si="0"/>
        <v/>
      </c>
      <c r="O6" s="174" t="str">
        <f t="shared" si="0"/>
        <v/>
      </c>
      <c r="P6" s="174" t="str">
        <f t="shared" si="0"/>
        <v/>
      </c>
      <c r="Q6" s="174" t="str">
        <f t="shared" si="0"/>
        <v/>
      </c>
      <c r="R6" s="174" t="str">
        <f t="shared" si="0"/>
        <v/>
      </c>
      <c r="S6" s="174" t="str">
        <f t="shared" si="0"/>
        <v/>
      </c>
      <c r="T6" s="174" t="str">
        <f t="shared" si="0"/>
        <v/>
      </c>
      <c r="U6" s="174" t="str">
        <f t="shared" si="0"/>
        <v/>
      </c>
      <c r="V6" s="174" t="str">
        <f t="shared" si="0"/>
        <v/>
      </c>
      <c r="W6" s="174" t="str">
        <f t="shared" si="0"/>
        <v/>
      </c>
      <c r="X6" s="174" t="str">
        <f t="shared" si="0"/>
        <v/>
      </c>
      <c r="Y6" s="174" t="str">
        <f t="shared" si="1"/>
        <v/>
      </c>
      <c r="Z6" s="176" t="str">
        <f t="shared" si="1"/>
        <v/>
      </c>
    </row>
    <row r="7" spans="1:29" s="20" customFormat="1" ht="13.5" customHeight="1">
      <c r="A7" s="64" t="s">
        <v>3</v>
      </c>
      <c r="B7" s="70" t="s">
        <v>108</v>
      </c>
      <c r="C7" s="123"/>
      <c r="D7" s="125"/>
      <c r="E7" s="126"/>
      <c r="F7" s="66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9"/>
    </row>
    <row r="8" spans="1:29" ht="24" customHeight="1">
      <c r="A8" s="152" t="s">
        <v>4</v>
      </c>
      <c r="B8" s="59" t="s">
        <v>109</v>
      </c>
      <c r="C8" s="172">
        <f>J1</f>
        <v>45170</v>
      </c>
      <c r="D8" s="173" t="s">
        <v>1</v>
      </c>
      <c r="E8" s="172">
        <f>K1</f>
        <v>45200</v>
      </c>
      <c r="F8" s="55">
        <f ca="1">IF(C8,ROUND(PRODUCT(H$2:INDEX(H$2:Z$2,MATCH(C8,H$1:Z$1,)-1)),4),"")</f>
        <v>1.0170999999999999</v>
      </c>
      <c r="G8" s="75">
        <f ca="1">IF(E8,ROUND(PRODUCT(INDEX(H$2:Z$2,MATCH(C8,H$1:Z$1,)):INDEX(H$2:Z$2,MATCH(E8,H$1:Z$1,))),4),"")</f>
        <v>1.0170999999999999</v>
      </c>
      <c r="H8" s="174">
        <f>IF(H$1&lt;$C8,H$2,IF(H$1&lt;=$E8,H$2,""))</f>
        <v>1.0085</v>
      </c>
      <c r="I8" s="174">
        <f t="shared" si="0"/>
        <v>1.0085</v>
      </c>
      <c r="J8" s="174">
        <f t="shared" si="0"/>
        <v>1.0085</v>
      </c>
      <c r="K8" s="174">
        <f t="shared" si="0"/>
        <v>1.0085</v>
      </c>
      <c r="L8" s="174" t="str">
        <f t="shared" si="0"/>
        <v/>
      </c>
      <c r="M8" s="174" t="str">
        <f t="shared" si="0"/>
        <v/>
      </c>
      <c r="N8" s="174" t="str">
        <f t="shared" si="0"/>
        <v/>
      </c>
      <c r="O8" s="174" t="str">
        <f t="shared" si="0"/>
        <v/>
      </c>
      <c r="P8" s="174" t="str">
        <f t="shared" si="0"/>
        <v/>
      </c>
      <c r="Q8" s="174" t="str">
        <f t="shared" si="0"/>
        <v/>
      </c>
      <c r="R8" s="174" t="str">
        <f t="shared" si="0"/>
        <v/>
      </c>
      <c r="S8" s="174" t="str">
        <f t="shared" si="0"/>
        <v/>
      </c>
      <c r="T8" s="174" t="str">
        <f t="shared" si="0"/>
        <v/>
      </c>
      <c r="U8" s="174" t="str">
        <f t="shared" si="0"/>
        <v/>
      </c>
      <c r="V8" s="174" t="str">
        <f t="shared" si="0"/>
        <v/>
      </c>
      <c r="W8" s="174" t="str">
        <f t="shared" si="0"/>
        <v/>
      </c>
      <c r="X8" s="174" t="str">
        <f t="shared" si="0"/>
        <v/>
      </c>
      <c r="Y8" s="174" t="str">
        <f t="shared" si="1"/>
        <v/>
      </c>
      <c r="Z8" s="175" t="str">
        <f t="shared" si="1"/>
        <v/>
      </c>
    </row>
    <row r="9" spans="1:29" ht="24" customHeight="1">
      <c r="A9" s="153" t="s">
        <v>5</v>
      </c>
      <c r="B9" s="50" t="s">
        <v>110</v>
      </c>
      <c r="C9" s="172">
        <f>L1</f>
        <v>45231</v>
      </c>
      <c r="D9" s="173" t="s">
        <v>1</v>
      </c>
      <c r="E9" s="172">
        <f>L1</f>
        <v>45231</v>
      </c>
      <c r="F9" s="55">
        <f ca="1">IF(C9,ROUND(PRODUCT(H$2:INDEX(H$2:Z$2,MATCH(C9,H$1:Z$1,)-1)),4),"")</f>
        <v>1.0344</v>
      </c>
      <c r="G9" s="75">
        <f ca="1">IF(E9,ROUND(PRODUCT(INDEX(H$2:Z$2,MATCH(C9,H$1:Z$1,)):INDEX(H$2:Z$2,MATCH(E9,H$1:Z$1,))),4),"")</f>
        <v>1.0085</v>
      </c>
      <c r="H9" s="174">
        <f>IF(H$1&lt;$C9,H$2,IF(H$1&lt;=$E9,H$2,""))</f>
        <v>1.0085</v>
      </c>
      <c r="I9" s="174">
        <f t="shared" si="0"/>
        <v>1.0085</v>
      </c>
      <c r="J9" s="174">
        <f t="shared" si="0"/>
        <v>1.0085</v>
      </c>
      <c r="K9" s="174">
        <f t="shared" si="0"/>
        <v>1.0085</v>
      </c>
      <c r="L9" s="174">
        <f t="shared" si="0"/>
        <v>1.0085</v>
      </c>
      <c r="M9" s="174" t="str">
        <f t="shared" si="0"/>
        <v/>
      </c>
      <c r="N9" s="174" t="str">
        <f t="shared" si="0"/>
        <v/>
      </c>
      <c r="O9" s="174" t="str">
        <f t="shared" si="0"/>
        <v/>
      </c>
      <c r="P9" s="174" t="str">
        <f t="shared" si="0"/>
        <v/>
      </c>
      <c r="Q9" s="174" t="str">
        <f t="shared" si="0"/>
        <v/>
      </c>
      <c r="R9" s="174" t="str">
        <f t="shared" si="0"/>
        <v/>
      </c>
      <c r="S9" s="174" t="str">
        <f t="shared" si="0"/>
        <v/>
      </c>
      <c r="T9" s="174" t="str">
        <f t="shared" si="0"/>
        <v/>
      </c>
      <c r="U9" s="174" t="str">
        <f t="shared" si="0"/>
        <v/>
      </c>
      <c r="V9" s="174" t="str">
        <f t="shared" si="0"/>
        <v/>
      </c>
      <c r="W9" s="174" t="str">
        <f t="shared" si="0"/>
        <v/>
      </c>
      <c r="X9" s="174" t="str">
        <f t="shared" si="0"/>
        <v/>
      </c>
      <c r="Y9" s="174" t="str">
        <f t="shared" si="1"/>
        <v/>
      </c>
      <c r="Z9" s="177" t="str">
        <f t="shared" si="1"/>
        <v/>
      </c>
    </row>
    <row r="10" spans="1:29" ht="24" customHeight="1">
      <c r="A10" s="154" t="s">
        <v>6</v>
      </c>
      <c r="B10" s="57" t="s">
        <v>111</v>
      </c>
      <c r="C10" s="172">
        <f>K1</f>
        <v>45200</v>
      </c>
      <c r="D10" s="173" t="s">
        <v>1</v>
      </c>
      <c r="E10" s="172">
        <f>L1</f>
        <v>45231</v>
      </c>
      <c r="F10" s="55">
        <f ca="1">IF(C10,ROUND(PRODUCT(H$2:INDEX(H$2:Z$2,MATCH(C10,H$1:Z$1,)-1)),4),"")</f>
        <v>1.0257000000000001</v>
      </c>
      <c r="G10" s="75">
        <f ca="1">IF(E10,ROUND(PRODUCT(INDEX(H$2:Z$2,MATCH(C10,H$1:Z$1,)):INDEX(H$2:Z$2,MATCH(E10,H$1:Z$1,))),4),"")</f>
        <v>1.0170999999999999</v>
      </c>
      <c r="H10" s="174">
        <f>IF(H$1&lt;$C10,H$2,IF(H$1&lt;=$E10,H$2,""))</f>
        <v>1.0085</v>
      </c>
      <c r="I10" s="174">
        <f t="shared" si="0"/>
        <v>1.0085</v>
      </c>
      <c r="J10" s="174">
        <f t="shared" si="0"/>
        <v>1.0085</v>
      </c>
      <c r="K10" s="174">
        <f t="shared" si="0"/>
        <v>1.0085</v>
      </c>
      <c r="L10" s="174">
        <f t="shared" si="0"/>
        <v>1.0085</v>
      </c>
      <c r="M10" s="174" t="str">
        <f t="shared" si="0"/>
        <v/>
      </c>
      <c r="N10" s="174" t="str">
        <f t="shared" si="0"/>
        <v/>
      </c>
      <c r="O10" s="174" t="str">
        <f t="shared" si="0"/>
        <v/>
      </c>
      <c r="P10" s="174" t="str">
        <f t="shared" si="0"/>
        <v/>
      </c>
      <c r="Q10" s="174" t="str">
        <f t="shared" si="0"/>
        <v/>
      </c>
      <c r="R10" s="174" t="str">
        <f t="shared" si="0"/>
        <v/>
      </c>
      <c r="S10" s="174" t="str">
        <f t="shared" si="0"/>
        <v/>
      </c>
      <c r="T10" s="174" t="str">
        <f t="shared" si="0"/>
        <v/>
      </c>
      <c r="U10" s="174" t="str">
        <f t="shared" si="0"/>
        <v/>
      </c>
      <c r="V10" s="174" t="str">
        <f t="shared" si="0"/>
        <v/>
      </c>
      <c r="W10" s="174" t="str">
        <f t="shared" si="0"/>
        <v/>
      </c>
      <c r="X10" s="174" t="str">
        <f t="shared" si="0"/>
        <v/>
      </c>
      <c r="Y10" s="174" t="str">
        <f t="shared" si="1"/>
        <v/>
      </c>
      <c r="Z10" s="177" t="str">
        <f t="shared" si="1"/>
        <v/>
      </c>
    </row>
    <row r="11" spans="1:29" ht="24" customHeight="1">
      <c r="A11" s="154" t="s">
        <v>7</v>
      </c>
      <c r="B11" s="57" t="s">
        <v>112</v>
      </c>
      <c r="C11" s="172">
        <f>M1</f>
        <v>45261</v>
      </c>
      <c r="D11" s="173" t="s">
        <v>1</v>
      </c>
      <c r="E11" s="172">
        <f>M1</f>
        <v>45261</v>
      </c>
      <c r="F11" s="55">
        <f ca="1">IF(C11,ROUND(PRODUCT(H$2:INDEX(H$2:Z$2,MATCH(C11,H$1:Z$1,)-1)),4),"")</f>
        <v>1.0431999999999999</v>
      </c>
      <c r="G11" s="75">
        <f ca="1">IF(E11,ROUND(PRODUCT(INDEX(H$2:Z$2,MATCH(C11,H$1:Z$1,)):INDEX(H$2:Z$2,MATCH(E11,H$1:Z$1,))),4),"")</f>
        <v>1.0085</v>
      </c>
      <c r="H11" s="174">
        <f>IF(H$1&lt;$C11,H$2,IF(H$1&lt;=$E11,H$2,""))</f>
        <v>1.0085</v>
      </c>
      <c r="I11" s="174">
        <f t="shared" si="0"/>
        <v>1.0085</v>
      </c>
      <c r="J11" s="174">
        <f t="shared" si="0"/>
        <v>1.0085</v>
      </c>
      <c r="K11" s="174">
        <f t="shared" si="0"/>
        <v>1.0085</v>
      </c>
      <c r="L11" s="174">
        <f t="shared" si="0"/>
        <v>1.0085</v>
      </c>
      <c r="M11" s="174">
        <f t="shared" si="0"/>
        <v>1.0085</v>
      </c>
      <c r="N11" s="174" t="str">
        <f t="shared" si="0"/>
        <v/>
      </c>
      <c r="O11" s="174" t="str">
        <f t="shared" si="0"/>
        <v/>
      </c>
      <c r="P11" s="174" t="str">
        <f t="shared" si="0"/>
        <v/>
      </c>
      <c r="Q11" s="174" t="str">
        <f t="shared" si="0"/>
        <v/>
      </c>
      <c r="R11" s="174" t="str">
        <f t="shared" si="0"/>
        <v/>
      </c>
      <c r="S11" s="174" t="str">
        <f t="shared" si="0"/>
        <v/>
      </c>
      <c r="T11" s="174" t="str">
        <f t="shared" si="0"/>
        <v/>
      </c>
      <c r="U11" s="174" t="str">
        <f t="shared" si="0"/>
        <v/>
      </c>
      <c r="V11" s="174" t="str">
        <f t="shared" si="0"/>
        <v/>
      </c>
      <c r="W11" s="174" t="str">
        <f t="shared" si="0"/>
        <v/>
      </c>
      <c r="X11" s="174" t="str">
        <f t="shared" si="0"/>
        <v/>
      </c>
      <c r="Y11" s="174" t="str">
        <f t="shared" si="1"/>
        <v/>
      </c>
      <c r="Z11" s="176" t="str">
        <f t="shared" si="1"/>
        <v/>
      </c>
    </row>
    <row r="12" spans="1:29" s="20" customFormat="1" ht="13.5" customHeight="1">
      <c r="A12" s="64" t="s">
        <v>8</v>
      </c>
      <c r="B12" s="70" t="s">
        <v>113</v>
      </c>
      <c r="C12" s="123"/>
      <c r="D12" s="125"/>
      <c r="E12" s="12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9"/>
    </row>
    <row r="13" spans="1:29" ht="24" customHeight="1">
      <c r="A13" s="152" t="s">
        <v>9</v>
      </c>
      <c r="B13" s="59" t="s">
        <v>114</v>
      </c>
      <c r="C13" s="172">
        <f>L1</f>
        <v>45231</v>
      </c>
      <c r="D13" s="173" t="s">
        <v>1</v>
      </c>
      <c r="E13" s="172">
        <f>M1</f>
        <v>45261</v>
      </c>
      <c r="F13" s="72">
        <f ca="1">IF(C13,ROUND(PRODUCT(H$2:INDEX(H$2:Z$2,MATCH(C13,H$1:Z$1,)-1)),4),"")</f>
        <v>1.0344</v>
      </c>
      <c r="G13" s="74">
        <f ca="1">IF(E13,ROUND(PRODUCT(INDEX(H$2:Z$2,MATCH(C13,H$1:Z$1,)):INDEX(H$2:Z$2,MATCH(E13,H$1:Z$1,))),4),"")</f>
        <v>1.0170999999999999</v>
      </c>
      <c r="H13" s="174">
        <f>IF(H$1&lt;$C13,H$2,IF(H$1&lt;=$E13,H$2,""))</f>
        <v>1.0085</v>
      </c>
      <c r="I13" s="174">
        <f t="shared" si="0"/>
        <v>1.0085</v>
      </c>
      <c r="J13" s="174">
        <f t="shared" si="0"/>
        <v>1.0085</v>
      </c>
      <c r="K13" s="174">
        <f t="shared" si="0"/>
        <v>1.0085</v>
      </c>
      <c r="L13" s="174">
        <f t="shared" si="0"/>
        <v>1.0085</v>
      </c>
      <c r="M13" s="174">
        <f t="shared" si="0"/>
        <v>1.0085</v>
      </c>
      <c r="N13" s="174" t="str">
        <f t="shared" si="0"/>
        <v/>
      </c>
      <c r="O13" s="174" t="str">
        <f t="shared" si="0"/>
        <v/>
      </c>
      <c r="P13" s="174" t="str">
        <f t="shared" si="0"/>
        <v/>
      </c>
      <c r="Q13" s="174" t="str">
        <f t="shared" si="0"/>
        <v/>
      </c>
      <c r="R13" s="174" t="str">
        <f t="shared" si="0"/>
        <v/>
      </c>
      <c r="S13" s="174" t="str">
        <f t="shared" si="0"/>
        <v/>
      </c>
      <c r="T13" s="174" t="str">
        <f t="shared" si="0"/>
        <v/>
      </c>
      <c r="U13" s="174" t="str">
        <f t="shared" si="0"/>
        <v/>
      </c>
      <c r="V13" s="174" t="str">
        <f t="shared" si="0"/>
        <v/>
      </c>
      <c r="W13" s="174" t="str">
        <f t="shared" si="0"/>
        <v/>
      </c>
      <c r="X13" s="174" t="str">
        <f t="shared" si="0"/>
        <v/>
      </c>
      <c r="Y13" s="174" t="str">
        <f t="shared" si="1"/>
        <v/>
      </c>
      <c r="Z13" s="175" t="str">
        <f t="shared" si="1"/>
        <v/>
      </c>
    </row>
    <row r="14" spans="1:29" ht="24" customHeight="1">
      <c r="A14" s="153" t="s">
        <v>10</v>
      </c>
      <c r="B14" s="50" t="s">
        <v>115</v>
      </c>
      <c r="C14" s="172">
        <f>M1</f>
        <v>45261</v>
      </c>
      <c r="D14" s="173" t="s">
        <v>1</v>
      </c>
      <c r="E14" s="172">
        <f>N1</f>
        <v>45292</v>
      </c>
      <c r="F14" s="55">
        <f ca="1">IF(C14,ROUND(PRODUCT(H$2:INDEX(H$2:Z$2,MATCH(C14,H$1:Z$1,)-1)),4),"")</f>
        <v>1.0431999999999999</v>
      </c>
      <c r="G14" s="74">
        <f ca="1">IF(E14,ROUND(PRODUCT(INDEX(H$2:Z$2,MATCH(C14,H$1:Z$1,)):INDEX(H$2:Z$2,MATCH(E14,H$1:Z$1,))),4),"")</f>
        <v>1.0162</v>
      </c>
      <c r="H14" s="174">
        <f>IF(H$1&lt;$C14,H$2,IF(H$1&lt;=$E14,H$2,""))</f>
        <v>1.0085</v>
      </c>
      <c r="I14" s="174">
        <f t="shared" si="0"/>
        <v>1.0085</v>
      </c>
      <c r="J14" s="174">
        <f t="shared" si="0"/>
        <v>1.0085</v>
      </c>
      <c r="K14" s="174">
        <f t="shared" si="0"/>
        <v>1.0085</v>
      </c>
      <c r="L14" s="174">
        <f t="shared" si="0"/>
        <v>1.0085</v>
      </c>
      <c r="M14" s="174">
        <f t="shared" si="0"/>
        <v>1.0085</v>
      </c>
      <c r="N14" s="174">
        <f t="shared" si="0"/>
        <v>1.0076000000000001</v>
      </c>
      <c r="O14" s="174" t="str">
        <f t="shared" si="0"/>
        <v/>
      </c>
      <c r="P14" s="174" t="str">
        <f t="shared" si="0"/>
        <v/>
      </c>
      <c r="Q14" s="174" t="str">
        <f t="shared" si="0"/>
        <v/>
      </c>
      <c r="R14" s="174" t="str">
        <f t="shared" si="0"/>
        <v/>
      </c>
      <c r="S14" s="174" t="str">
        <f t="shared" si="0"/>
        <v/>
      </c>
      <c r="T14" s="174" t="str">
        <f t="shared" si="0"/>
        <v/>
      </c>
      <c r="U14" s="174" t="str">
        <f t="shared" si="0"/>
        <v/>
      </c>
      <c r="V14" s="174" t="str">
        <f t="shared" si="0"/>
        <v/>
      </c>
      <c r="W14" s="174" t="str">
        <f t="shared" si="0"/>
        <v/>
      </c>
      <c r="X14" s="174" t="str">
        <f t="shared" si="0"/>
        <v/>
      </c>
      <c r="Y14" s="174" t="str">
        <f t="shared" si="1"/>
        <v/>
      </c>
      <c r="Z14" s="176" t="str">
        <f t="shared" si="1"/>
        <v/>
      </c>
    </row>
    <row r="15" spans="1:29" s="20" customFormat="1" ht="13.5" customHeight="1">
      <c r="A15" s="64" t="s">
        <v>11</v>
      </c>
      <c r="B15" s="70" t="s">
        <v>117</v>
      </c>
      <c r="C15" s="123"/>
      <c r="D15" s="125"/>
      <c r="E15" s="126"/>
      <c r="F15" s="66"/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9"/>
    </row>
    <row r="16" spans="1:29" ht="32.25" customHeight="1">
      <c r="A16" s="152" t="s">
        <v>12</v>
      </c>
      <c r="B16" s="59" t="s">
        <v>116</v>
      </c>
      <c r="C16" s="172">
        <f>N1</f>
        <v>45292</v>
      </c>
      <c r="D16" s="173" t="s">
        <v>1</v>
      </c>
      <c r="E16" s="172">
        <f>Q1</f>
        <v>45383</v>
      </c>
      <c r="F16" s="55">
        <f ca="1">IF(C16,ROUND(PRODUCT(H$2:INDEX(H$2:Z$2,MATCH(C16,H$1:Z$1,)-1)),4),"")</f>
        <v>1.0521</v>
      </c>
      <c r="G16" s="74">
        <f ca="1">IF(E16,ROUND(PRODUCT(INDEX(H$2:Z$2,MATCH(C16,H$1:Z$1,)):INDEX(H$2:Z$2,MATCH(E16,H$1:Z$1,))),4),"")</f>
        <v>1.0306999999999999</v>
      </c>
      <c r="H16" s="174">
        <f>IF(H$1&lt;$C16,H$2,IF(H$1&lt;=$E16,H$2,""))</f>
        <v>1.0085</v>
      </c>
      <c r="I16" s="174">
        <f t="shared" si="0"/>
        <v>1.0085</v>
      </c>
      <c r="J16" s="174">
        <f t="shared" si="0"/>
        <v>1.0085</v>
      </c>
      <c r="K16" s="174">
        <f t="shared" si="0"/>
        <v>1.0085</v>
      </c>
      <c r="L16" s="174">
        <f t="shared" si="0"/>
        <v>1.0085</v>
      </c>
      <c r="M16" s="174">
        <f t="shared" si="0"/>
        <v>1.0085</v>
      </c>
      <c r="N16" s="174">
        <f t="shared" si="0"/>
        <v>1.0076000000000001</v>
      </c>
      <c r="O16" s="174">
        <f t="shared" si="0"/>
        <v>1.0076000000000001</v>
      </c>
      <c r="P16" s="174">
        <f t="shared" si="0"/>
        <v>1.0076000000000001</v>
      </c>
      <c r="Q16" s="174">
        <f t="shared" si="0"/>
        <v>1.0076000000000001</v>
      </c>
      <c r="R16" s="174" t="str">
        <f t="shared" si="0"/>
        <v/>
      </c>
      <c r="S16" s="174" t="str">
        <f t="shared" si="0"/>
        <v/>
      </c>
      <c r="T16" s="174" t="str">
        <f t="shared" si="0"/>
        <v/>
      </c>
      <c r="U16" s="174" t="str">
        <f t="shared" si="0"/>
        <v/>
      </c>
      <c r="V16" s="174" t="str">
        <f t="shared" si="0"/>
        <v/>
      </c>
      <c r="W16" s="174" t="str">
        <f t="shared" si="0"/>
        <v/>
      </c>
      <c r="X16" s="174" t="str">
        <f t="shared" si="0"/>
        <v/>
      </c>
      <c r="Y16" s="174" t="str">
        <f t="shared" si="1"/>
        <v/>
      </c>
      <c r="Z16" s="178" t="str">
        <f t="shared" si="1"/>
        <v/>
      </c>
    </row>
    <row r="17" spans="1:26" s="20" customFormat="1" ht="13.5" customHeight="1">
      <c r="A17" s="64" t="s">
        <v>13</v>
      </c>
      <c r="B17" s="70" t="s">
        <v>118</v>
      </c>
      <c r="C17" s="123"/>
      <c r="D17" s="125"/>
      <c r="E17" s="126"/>
      <c r="F17" s="66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9"/>
    </row>
    <row r="18" spans="1:26" ht="22.5">
      <c r="A18" s="152" t="s">
        <v>14</v>
      </c>
      <c r="B18" s="59" t="s">
        <v>123</v>
      </c>
      <c r="C18" s="172">
        <f>R1</f>
        <v>45413</v>
      </c>
      <c r="D18" s="173" t="s">
        <v>1</v>
      </c>
      <c r="E18" s="172">
        <f>R1</f>
        <v>45413</v>
      </c>
      <c r="F18" s="55">
        <f ca="1">IF(C18,ROUND(PRODUCT(H$2:INDEX(H$2:Z$2,MATCH(C18,H$1:Z$1,)-1)),4),"")</f>
        <v>1.0844</v>
      </c>
      <c r="G18" s="74">
        <f ca="1">IF(E18,ROUND(PRODUCT(INDEX(H$2:Z$2,MATCH(C18,H$1:Z$1,)):INDEX(H$2:Z$2,MATCH(E18,H$1:Z$1,))),4),"")</f>
        <v>1.0076000000000001</v>
      </c>
      <c r="H18" s="174">
        <f t="shared" ref="H18:W24" si="2">IF(H$1&lt;$C18,H$2,IF(H$1&lt;=$E18,H$2,""))</f>
        <v>1.0085</v>
      </c>
      <c r="I18" s="174">
        <f t="shared" si="0"/>
        <v>1.0085</v>
      </c>
      <c r="J18" s="174">
        <f t="shared" si="0"/>
        <v>1.0085</v>
      </c>
      <c r="K18" s="174">
        <f t="shared" si="0"/>
        <v>1.0085</v>
      </c>
      <c r="L18" s="174">
        <f t="shared" si="0"/>
        <v>1.0085</v>
      </c>
      <c r="M18" s="174">
        <f t="shared" si="0"/>
        <v>1.0085</v>
      </c>
      <c r="N18" s="174">
        <f t="shared" si="0"/>
        <v>1.0076000000000001</v>
      </c>
      <c r="O18" s="174">
        <f t="shared" si="0"/>
        <v>1.0076000000000001</v>
      </c>
      <c r="P18" s="174">
        <f t="shared" si="0"/>
        <v>1.0076000000000001</v>
      </c>
      <c r="Q18" s="174">
        <f t="shared" si="0"/>
        <v>1.0076000000000001</v>
      </c>
      <c r="R18" s="174">
        <f t="shared" si="0"/>
        <v>1.0076000000000001</v>
      </c>
      <c r="S18" s="174" t="str">
        <f t="shared" si="0"/>
        <v/>
      </c>
      <c r="T18" s="174" t="str">
        <f t="shared" si="0"/>
        <v/>
      </c>
      <c r="U18" s="174" t="str">
        <f t="shared" si="0"/>
        <v/>
      </c>
      <c r="V18" s="174" t="str">
        <f t="shared" si="0"/>
        <v/>
      </c>
      <c r="W18" s="174" t="str">
        <f t="shared" si="0"/>
        <v/>
      </c>
      <c r="X18" s="174" t="str">
        <f t="shared" si="0"/>
        <v/>
      </c>
      <c r="Y18" s="174" t="str">
        <f t="shared" si="1"/>
        <v/>
      </c>
      <c r="Z18" s="175" t="str">
        <f t="shared" si="1"/>
        <v/>
      </c>
    </row>
    <row r="19" spans="1:26" ht="22.5">
      <c r="A19" s="153" t="s">
        <v>15</v>
      </c>
      <c r="B19" s="50" t="s">
        <v>124</v>
      </c>
      <c r="C19" s="172">
        <f>S1</f>
        <v>45444</v>
      </c>
      <c r="D19" s="173" t="s">
        <v>1</v>
      </c>
      <c r="E19" s="172">
        <f>T1</f>
        <v>45474</v>
      </c>
      <c r="F19" s="55">
        <f ca="1">IF(C19,ROUND(PRODUCT(H$2:INDEX(H$2:Z$2,MATCH(C19,H$1:Z$1,)-1)),4),"")</f>
        <v>1.0927</v>
      </c>
      <c r="G19" s="74">
        <f ca="1">IF(E19,ROUND(PRODUCT(INDEX(H$2:Z$2,MATCH(C19,H$1:Z$1,)):INDEX(H$2:Z$2,MATCH(E19,H$1:Z$1,))),4),"")</f>
        <v>1.0153000000000001</v>
      </c>
      <c r="H19" s="174">
        <f t="shared" si="2"/>
        <v>1.0085</v>
      </c>
      <c r="I19" s="174">
        <f t="shared" si="0"/>
        <v>1.0085</v>
      </c>
      <c r="J19" s="174">
        <f t="shared" si="0"/>
        <v>1.0085</v>
      </c>
      <c r="K19" s="174">
        <f t="shared" si="0"/>
        <v>1.0085</v>
      </c>
      <c r="L19" s="174">
        <f t="shared" si="0"/>
        <v>1.0085</v>
      </c>
      <c r="M19" s="174">
        <f t="shared" si="0"/>
        <v>1.0085</v>
      </c>
      <c r="N19" s="174">
        <f t="shared" si="0"/>
        <v>1.0076000000000001</v>
      </c>
      <c r="O19" s="174">
        <f t="shared" si="0"/>
        <v>1.0076000000000001</v>
      </c>
      <c r="P19" s="174">
        <f t="shared" si="0"/>
        <v>1.0076000000000001</v>
      </c>
      <c r="Q19" s="174">
        <f t="shared" si="0"/>
        <v>1.0076000000000001</v>
      </c>
      <c r="R19" s="174">
        <f t="shared" si="0"/>
        <v>1.0076000000000001</v>
      </c>
      <c r="S19" s="174">
        <f t="shared" si="0"/>
        <v>1.0076000000000001</v>
      </c>
      <c r="T19" s="174">
        <f t="shared" si="0"/>
        <v>1.0076000000000001</v>
      </c>
      <c r="U19" s="174" t="str">
        <f t="shared" si="0"/>
        <v/>
      </c>
      <c r="V19" s="174" t="str">
        <f t="shared" si="0"/>
        <v/>
      </c>
      <c r="W19" s="174" t="str">
        <f t="shared" si="0"/>
        <v/>
      </c>
      <c r="X19" s="174" t="str">
        <f t="shared" si="0"/>
        <v/>
      </c>
      <c r="Y19" s="174" t="str">
        <f t="shared" si="1"/>
        <v/>
      </c>
      <c r="Z19" s="177" t="str">
        <f t="shared" si="1"/>
        <v/>
      </c>
    </row>
    <row r="20" spans="1:26" ht="33.75" customHeight="1">
      <c r="A20" s="154" t="s">
        <v>24</v>
      </c>
      <c r="B20" s="57" t="s">
        <v>125</v>
      </c>
      <c r="C20" s="172">
        <f>S1</f>
        <v>45444</v>
      </c>
      <c r="D20" s="173" t="s">
        <v>1</v>
      </c>
      <c r="E20" s="172">
        <f>S1</f>
        <v>45444</v>
      </c>
      <c r="F20" s="55">
        <f ca="1">IF(C20,ROUND(PRODUCT(H$2:INDEX(H$2:Z$2,MATCH(C20,H$1:Z$1,)-1)),4),"")</f>
        <v>1.0927</v>
      </c>
      <c r="G20" s="74">
        <f ca="1">IF(E20,ROUND(PRODUCT(INDEX(H$2:Z$2,MATCH(C20,H$1:Z$1,)):INDEX(H$2:Z$2,MATCH(E20,H$1:Z$1,))),4),"")</f>
        <v>1.0076000000000001</v>
      </c>
      <c r="H20" s="174">
        <f t="shared" si="2"/>
        <v>1.0085</v>
      </c>
      <c r="I20" s="174">
        <f t="shared" si="2"/>
        <v>1.0085</v>
      </c>
      <c r="J20" s="174">
        <f t="shared" si="2"/>
        <v>1.0085</v>
      </c>
      <c r="K20" s="174">
        <f t="shared" si="2"/>
        <v>1.0085</v>
      </c>
      <c r="L20" s="174">
        <f t="shared" si="2"/>
        <v>1.0085</v>
      </c>
      <c r="M20" s="174">
        <f t="shared" si="2"/>
        <v>1.0085</v>
      </c>
      <c r="N20" s="174">
        <f t="shared" si="2"/>
        <v>1.0076000000000001</v>
      </c>
      <c r="O20" s="174">
        <f t="shared" si="2"/>
        <v>1.0076000000000001</v>
      </c>
      <c r="P20" s="174">
        <f t="shared" si="2"/>
        <v>1.0076000000000001</v>
      </c>
      <c r="Q20" s="174">
        <f t="shared" si="2"/>
        <v>1.0076000000000001</v>
      </c>
      <c r="R20" s="174">
        <f t="shared" si="2"/>
        <v>1.0076000000000001</v>
      </c>
      <c r="S20" s="174">
        <f t="shared" si="2"/>
        <v>1.0076000000000001</v>
      </c>
      <c r="T20" s="174" t="str">
        <f t="shared" si="2"/>
        <v/>
      </c>
      <c r="U20" s="174" t="str">
        <f t="shared" si="2"/>
        <v/>
      </c>
      <c r="V20" s="174" t="str">
        <f t="shared" si="2"/>
        <v/>
      </c>
      <c r="W20" s="174" t="str">
        <f t="shared" si="2"/>
        <v/>
      </c>
      <c r="X20" s="174" t="str">
        <f t="shared" ref="X20:Z24" si="3">IF(X$1&lt;$C20,X$2,IF(X$1&lt;=$E20,X$2,""))</f>
        <v/>
      </c>
      <c r="Y20" s="174" t="str">
        <f t="shared" si="3"/>
        <v/>
      </c>
      <c r="Z20" s="177" t="str">
        <f t="shared" si="3"/>
        <v/>
      </c>
    </row>
    <row r="21" spans="1:26" ht="33.75">
      <c r="A21" s="154" t="s">
        <v>119</v>
      </c>
      <c r="B21" s="57" t="s">
        <v>126</v>
      </c>
      <c r="C21" s="172">
        <f>T1</f>
        <v>45474</v>
      </c>
      <c r="D21" s="173" t="s">
        <v>1</v>
      </c>
      <c r="E21" s="172">
        <f>T1</f>
        <v>45474</v>
      </c>
      <c r="F21" s="55">
        <f ca="1">IF(C21,ROUND(PRODUCT(H$2:INDEX(H$2:Z$2,MATCH(C21,H$1:Z$1,)-1)),4),"")</f>
        <v>1.101</v>
      </c>
      <c r="G21" s="74">
        <f ca="1">IF(E21,ROUND(PRODUCT(INDEX(H$2:Z$2,MATCH(C21,H$1:Z$1,)):INDEX(H$2:Z$2,MATCH(E21,H$1:Z$1,))),4),"")</f>
        <v>1.0076000000000001</v>
      </c>
      <c r="H21" s="174">
        <f t="shared" si="2"/>
        <v>1.0085</v>
      </c>
      <c r="I21" s="174">
        <f t="shared" si="2"/>
        <v>1.0085</v>
      </c>
      <c r="J21" s="174">
        <f t="shared" si="2"/>
        <v>1.0085</v>
      </c>
      <c r="K21" s="174">
        <f t="shared" si="2"/>
        <v>1.0085</v>
      </c>
      <c r="L21" s="174">
        <f t="shared" si="2"/>
        <v>1.0085</v>
      </c>
      <c r="M21" s="174">
        <f t="shared" si="2"/>
        <v>1.0085</v>
      </c>
      <c r="N21" s="174">
        <f t="shared" si="2"/>
        <v>1.0076000000000001</v>
      </c>
      <c r="O21" s="174">
        <f t="shared" si="2"/>
        <v>1.0076000000000001</v>
      </c>
      <c r="P21" s="174">
        <f t="shared" si="2"/>
        <v>1.0076000000000001</v>
      </c>
      <c r="Q21" s="174">
        <f t="shared" si="2"/>
        <v>1.0076000000000001</v>
      </c>
      <c r="R21" s="174">
        <f t="shared" si="2"/>
        <v>1.0076000000000001</v>
      </c>
      <c r="S21" s="174">
        <f t="shared" si="2"/>
        <v>1.0076000000000001</v>
      </c>
      <c r="T21" s="174">
        <f t="shared" si="2"/>
        <v>1.0076000000000001</v>
      </c>
      <c r="U21" s="174" t="str">
        <f t="shared" si="2"/>
        <v/>
      </c>
      <c r="V21" s="174" t="str">
        <f t="shared" si="2"/>
        <v/>
      </c>
      <c r="W21" s="174" t="str">
        <f t="shared" si="2"/>
        <v/>
      </c>
      <c r="X21" s="174" t="str">
        <f t="shared" si="3"/>
        <v/>
      </c>
      <c r="Y21" s="174" t="str">
        <f t="shared" si="3"/>
        <v/>
      </c>
      <c r="Z21" s="177" t="str">
        <f t="shared" si="3"/>
        <v/>
      </c>
    </row>
    <row r="22" spans="1:26" ht="24" customHeight="1">
      <c r="A22" s="154" t="s">
        <v>120</v>
      </c>
      <c r="B22" s="81" t="s">
        <v>127</v>
      </c>
      <c r="C22" s="172">
        <f>T1</f>
        <v>45474</v>
      </c>
      <c r="D22" s="173" t="s">
        <v>1</v>
      </c>
      <c r="E22" s="172">
        <f>U1</f>
        <v>45505</v>
      </c>
      <c r="F22" s="55">
        <f ca="1">IF(C22,ROUND(PRODUCT(H$2:INDEX(H$2:Z$2,MATCH(C22,H$1:Z$1,)-1)),4),"")</f>
        <v>1.101</v>
      </c>
      <c r="G22" s="74">
        <f ca="1">IF(E22,ROUND(PRODUCT(INDEX(H$2:Z$2,MATCH(C22,H$1:Z$1,)):INDEX(H$2:Z$2,MATCH(E22,H$1:Z$1,))),4),"")</f>
        <v>1.0153000000000001</v>
      </c>
      <c r="H22" s="174">
        <f t="shared" si="2"/>
        <v>1.0085</v>
      </c>
      <c r="I22" s="174">
        <f t="shared" si="2"/>
        <v>1.0085</v>
      </c>
      <c r="J22" s="174">
        <f t="shared" si="2"/>
        <v>1.0085</v>
      </c>
      <c r="K22" s="174">
        <f t="shared" si="2"/>
        <v>1.0085</v>
      </c>
      <c r="L22" s="174">
        <f t="shared" si="2"/>
        <v>1.0085</v>
      </c>
      <c r="M22" s="174">
        <f t="shared" si="2"/>
        <v>1.0085</v>
      </c>
      <c r="N22" s="174">
        <f t="shared" si="2"/>
        <v>1.0076000000000001</v>
      </c>
      <c r="O22" s="174">
        <f t="shared" si="2"/>
        <v>1.0076000000000001</v>
      </c>
      <c r="P22" s="174">
        <f t="shared" si="2"/>
        <v>1.0076000000000001</v>
      </c>
      <c r="Q22" s="174">
        <f t="shared" si="2"/>
        <v>1.0076000000000001</v>
      </c>
      <c r="R22" s="174">
        <f t="shared" si="2"/>
        <v>1.0076000000000001</v>
      </c>
      <c r="S22" s="174">
        <f t="shared" si="2"/>
        <v>1.0076000000000001</v>
      </c>
      <c r="T22" s="174">
        <f t="shared" si="2"/>
        <v>1.0076000000000001</v>
      </c>
      <c r="U22" s="174">
        <f t="shared" si="2"/>
        <v>1.0076000000000001</v>
      </c>
      <c r="V22" s="174" t="str">
        <f t="shared" si="2"/>
        <v/>
      </c>
      <c r="W22" s="174" t="str">
        <f t="shared" si="2"/>
        <v/>
      </c>
      <c r="X22" s="174" t="str">
        <f t="shared" si="3"/>
        <v/>
      </c>
      <c r="Y22" s="174" t="str">
        <f t="shared" si="3"/>
        <v/>
      </c>
      <c r="Z22" s="177" t="str">
        <f t="shared" si="3"/>
        <v/>
      </c>
    </row>
    <row r="23" spans="1:26" ht="24" customHeight="1">
      <c r="A23" s="154" t="s">
        <v>121</v>
      </c>
      <c r="B23" s="57" t="s">
        <v>128</v>
      </c>
      <c r="C23" s="172">
        <f>T1</f>
        <v>45474</v>
      </c>
      <c r="D23" s="173" t="s">
        <v>1</v>
      </c>
      <c r="E23" s="172">
        <f>T1</f>
        <v>45474</v>
      </c>
      <c r="F23" s="55">
        <f ca="1">IF(C23,ROUND(PRODUCT(H$2:INDEX(H$2:Z$2,MATCH(C23,H$1:Z$1,)-1)),4),"")</f>
        <v>1.101</v>
      </c>
      <c r="G23" s="74">
        <f ca="1">IF(E23,ROUND(PRODUCT(INDEX(H$2:Z$2,MATCH(C23,H$1:Z$1,)):INDEX(H$2:Z$2,MATCH(E23,H$1:Z$1,))),4),"")</f>
        <v>1.0076000000000001</v>
      </c>
      <c r="H23" s="174">
        <f t="shared" si="2"/>
        <v>1.0085</v>
      </c>
      <c r="I23" s="174">
        <f t="shared" si="2"/>
        <v>1.0085</v>
      </c>
      <c r="J23" s="174">
        <f t="shared" si="2"/>
        <v>1.0085</v>
      </c>
      <c r="K23" s="174">
        <f t="shared" si="2"/>
        <v>1.0085</v>
      </c>
      <c r="L23" s="174">
        <f t="shared" si="2"/>
        <v>1.0085</v>
      </c>
      <c r="M23" s="174">
        <f t="shared" si="2"/>
        <v>1.0085</v>
      </c>
      <c r="N23" s="174">
        <f t="shared" si="2"/>
        <v>1.0076000000000001</v>
      </c>
      <c r="O23" s="174">
        <f t="shared" si="2"/>
        <v>1.0076000000000001</v>
      </c>
      <c r="P23" s="174">
        <f t="shared" si="2"/>
        <v>1.0076000000000001</v>
      </c>
      <c r="Q23" s="174">
        <f t="shared" si="2"/>
        <v>1.0076000000000001</v>
      </c>
      <c r="R23" s="174">
        <f t="shared" si="2"/>
        <v>1.0076000000000001</v>
      </c>
      <c r="S23" s="174">
        <f t="shared" si="2"/>
        <v>1.0076000000000001</v>
      </c>
      <c r="T23" s="174">
        <f t="shared" si="2"/>
        <v>1.0076000000000001</v>
      </c>
      <c r="U23" s="174" t="str">
        <f t="shared" si="2"/>
        <v/>
      </c>
      <c r="V23" s="174" t="str">
        <f t="shared" si="2"/>
        <v/>
      </c>
      <c r="W23" s="174" t="str">
        <f t="shared" si="2"/>
        <v/>
      </c>
      <c r="X23" s="174" t="str">
        <f t="shared" si="3"/>
        <v/>
      </c>
      <c r="Y23" s="174" t="str">
        <f t="shared" si="3"/>
        <v/>
      </c>
      <c r="Z23" s="177" t="str">
        <f t="shared" si="3"/>
        <v/>
      </c>
    </row>
    <row r="24" spans="1:26" ht="33.75">
      <c r="A24" s="168" t="s">
        <v>122</v>
      </c>
      <c r="B24" s="78" t="s">
        <v>129</v>
      </c>
      <c r="C24" s="172">
        <f>U1</f>
        <v>45505</v>
      </c>
      <c r="D24" s="173" t="s">
        <v>1</v>
      </c>
      <c r="E24" s="172">
        <f>V1</f>
        <v>45536</v>
      </c>
      <c r="F24" s="79">
        <f ca="1">IF(C24,ROUND(PRODUCT(H$2:INDEX(H$2:Z$2,MATCH(C24,H$1:Z$1,)-1)),4),"")</f>
        <v>1.1093999999999999</v>
      </c>
      <c r="G24" s="85">
        <f ca="1">IF(E24,ROUND(PRODUCT(INDEX(H$2:Z$2,MATCH(C24,H$1:Z$1,)):INDEX(H$2:Z$2,MATCH(E24,H$1:Z$1,))),4),"")</f>
        <v>1.0153000000000001</v>
      </c>
      <c r="H24" s="174">
        <f t="shared" si="2"/>
        <v>1.0085</v>
      </c>
      <c r="I24" s="174">
        <f t="shared" si="2"/>
        <v>1.0085</v>
      </c>
      <c r="J24" s="174">
        <f t="shared" si="2"/>
        <v>1.0085</v>
      </c>
      <c r="K24" s="174">
        <f t="shared" si="2"/>
        <v>1.0085</v>
      </c>
      <c r="L24" s="174">
        <f t="shared" si="2"/>
        <v>1.0085</v>
      </c>
      <c r="M24" s="174">
        <f t="shared" si="2"/>
        <v>1.0085</v>
      </c>
      <c r="N24" s="174">
        <f t="shared" si="2"/>
        <v>1.0076000000000001</v>
      </c>
      <c r="O24" s="174">
        <f t="shared" si="2"/>
        <v>1.0076000000000001</v>
      </c>
      <c r="P24" s="174">
        <f t="shared" si="2"/>
        <v>1.0076000000000001</v>
      </c>
      <c r="Q24" s="174">
        <f t="shared" si="2"/>
        <v>1.0076000000000001</v>
      </c>
      <c r="R24" s="174">
        <f t="shared" si="2"/>
        <v>1.0076000000000001</v>
      </c>
      <c r="S24" s="174">
        <f t="shared" si="2"/>
        <v>1.0076000000000001</v>
      </c>
      <c r="T24" s="174">
        <f t="shared" si="2"/>
        <v>1.0076000000000001</v>
      </c>
      <c r="U24" s="174">
        <f t="shared" si="2"/>
        <v>1.0076000000000001</v>
      </c>
      <c r="V24" s="174">
        <f t="shared" si="2"/>
        <v>1.0076000000000001</v>
      </c>
      <c r="W24" s="174" t="str">
        <f t="shared" si="2"/>
        <v/>
      </c>
      <c r="X24" s="174" t="str">
        <f t="shared" si="3"/>
        <v/>
      </c>
      <c r="Y24" s="174" t="str">
        <f t="shared" si="3"/>
        <v/>
      </c>
      <c r="Z24" s="176" t="str">
        <f t="shared" si="3"/>
        <v/>
      </c>
    </row>
    <row r="25" spans="1:26" s="20" customFormat="1" ht="13.5" customHeight="1">
      <c r="A25" s="64" t="s">
        <v>16</v>
      </c>
      <c r="B25" s="70" t="s">
        <v>130</v>
      </c>
      <c r="C25" s="123"/>
      <c r="D25" s="125"/>
      <c r="E25" s="126"/>
      <c r="F25" s="66"/>
      <c r="G25" s="67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9"/>
    </row>
    <row r="26" spans="1:26" ht="22.5">
      <c r="A26" s="58" t="s">
        <v>17</v>
      </c>
      <c r="B26" s="59" t="s">
        <v>131</v>
      </c>
      <c r="C26" s="172">
        <f>J1</f>
        <v>45170</v>
      </c>
      <c r="D26" s="173" t="s">
        <v>1</v>
      </c>
      <c r="E26" s="172">
        <f>J1</f>
        <v>45170</v>
      </c>
      <c r="F26" s="55">
        <f ca="1">IF(C26,ROUND(PRODUCT(H$2:INDEX(H$2:Z$2,MATCH(C26,H$1:Z$1,)-1)),4),"")</f>
        <v>1.0170999999999999</v>
      </c>
      <c r="G26" s="75">
        <f ca="1">IF(E26,ROUND(PRODUCT(INDEX(H$2:Z$2,MATCH(C26,H$1:Z$1,)):INDEX(H$2:Z$2,MATCH(E26,H$1:Z$1,))),4),"")</f>
        <v>1.0085</v>
      </c>
      <c r="H26" s="174">
        <f t="shared" ref="H26:W31" si="4">IF(H$1&lt;$C26,H$2,IF(H$1&lt;=$E26,H$2,""))</f>
        <v>1.0085</v>
      </c>
      <c r="I26" s="174">
        <f t="shared" si="4"/>
        <v>1.0085</v>
      </c>
      <c r="J26" s="174">
        <f t="shared" si="4"/>
        <v>1.0085</v>
      </c>
      <c r="K26" s="174" t="str">
        <f t="shared" si="4"/>
        <v/>
      </c>
      <c r="L26" s="174" t="str">
        <f t="shared" si="4"/>
        <v/>
      </c>
      <c r="M26" s="174" t="str">
        <f t="shared" si="4"/>
        <v/>
      </c>
      <c r="N26" s="174" t="str">
        <f t="shared" si="4"/>
        <v/>
      </c>
      <c r="O26" s="174" t="str">
        <f t="shared" si="4"/>
        <v/>
      </c>
      <c r="P26" s="174" t="str">
        <f t="shared" si="4"/>
        <v/>
      </c>
      <c r="Q26" s="174" t="str">
        <f t="shared" si="4"/>
        <v/>
      </c>
      <c r="R26" s="174" t="str">
        <f t="shared" si="4"/>
        <v/>
      </c>
      <c r="S26" s="174" t="str">
        <f t="shared" si="4"/>
        <v/>
      </c>
      <c r="T26" s="174" t="str">
        <f t="shared" si="4"/>
        <v/>
      </c>
      <c r="U26" s="174" t="str">
        <f t="shared" si="4"/>
        <v/>
      </c>
      <c r="V26" s="174" t="str">
        <f t="shared" si="4"/>
        <v/>
      </c>
      <c r="W26" s="174" t="str">
        <f t="shared" si="4"/>
        <v/>
      </c>
      <c r="X26" s="174" t="str">
        <f t="shared" ref="X26:Z31" si="5">IF(X$1&lt;$C26,X$2,IF(X$1&lt;=$E26,X$2,""))</f>
        <v/>
      </c>
      <c r="Y26" s="174" t="str">
        <f t="shared" si="5"/>
        <v/>
      </c>
      <c r="Z26" s="175" t="str">
        <f t="shared" si="5"/>
        <v/>
      </c>
    </row>
    <row r="27" spans="1:26" ht="22.5">
      <c r="A27" s="49" t="s">
        <v>132</v>
      </c>
      <c r="B27" s="50" t="s">
        <v>137</v>
      </c>
      <c r="C27" s="172">
        <f>R1</f>
        <v>45413</v>
      </c>
      <c r="D27" s="173" t="s">
        <v>1</v>
      </c>
      <c r="E27" s="172">
        <f>S1</f>
        <v>45444</v>
      </c>
      <c r="F27" s="55">
        <f ca="1">IF(C27,ROUND(PRODUCT(H$2:INDEX(H$2:Z$2,MATCH(C27,H$1:Z$1,)-1)),4),"")</f>
        <v>1.0844</v>
      </c>
      <c r="G27" s="74">
        <f ca="1">IF(E27,ROUND(PRODUCT(INDEX(H$2:Z$2,MATCH(C27,H$1:Z$1,)):INDEX(H$2:Z$2,MATCH(E27,H$1:Z$1,))),4),"")</f>
        <v>1.0153000000000001</v>
      </c>
      <c r="H27" s="174">
        <f t="shared" si="4"/>
        <v>1.0085</v>
      </c>
      <c r="I27" s="174">
        <f t="shared" si="4"/>
        <v>1.0085</v>
      </c>
      <c r="J27" s="174">
        <f t="shared" si="4"/>
        <v>1.0085</v>
      </c>
      <c r="K27" s="174">
        <f t="shared" si="4"/>
        <v>1.0085</v>
      </c>
      <c r="L27" s="174">
        <f t="shared" si="4"/>
        <v>1.0085</v>
      </c>
      <c r="M27" s="174">
        <f t="shared" si="4"/>
        <v>1.0085</v>
      </c>
      <c r="N27" s="174">
        <f t="shared" si="4"/>
        <v>1.0076000000000001</v>
      </c>
      <c r="O27" s="174">
        <f t="shared" si="4"/>
        <v>1.0076000000000001</v>
      </c>
      <c r="P27" s="174">
        <f t="shared" si="4"/>
        <v>1.0076000000000001</v>
      </c>
      <c r="Q27" s="174">
        <f t="shared" si="4"/>
        <v>1.0076000000000001</v>
      </c>
      <c r="R27" s="174">
        <f t="shared" si="4"/>
        <v>1.0076000000000001</v>
      </c>
      <c r="S27" s="174">
        <f t="shared" si="4"/>
        <v>1.0076000000000001</v>
      </c>
      <c r="T27" s="174" t="str">
        <f t="shared" si="4"/>
        <v/>
      </c>
      <c r="U27" s="174" t="str">
        <f t="shared" si="4"/>
        <v/>
      </c>
      <c r="V27" s="174" t="str">
        <f t="shared" si="4"/>
        <v/>
      </c>
      <c r="W27" s="174" t="str">
        <f t="shared" si="4"/>
        <v/>
      </c>
      <c r="X27" s="174" t="str">
        <f t="shared" si="5"/>
        <v/>
      </c>
      <c r="Y27" s="174" t="str">
        <f t="shared" si="5"/>
        <v/>
      </c>
      <c r="Z27" s="177" t="str">
        <f t="shared" si="5"/>
        <v/>
      </c>
    </row>
    <row r="28" spans="1:26" ht="45">
      <c r="A28" s="56" t="s">
        <v>133</v>
      </c>
      <c r="B28" s="57" t="s">
        <v>138</v>
      </c>
      <c r="C28" s="172">
        <f>M1</f>
        <v>45261</v>
      </c>
      <c r="D28" s="173" t="s">
        <v>1</v>
      </c>
      <c r="E28" s="172">
        <f>M1</f>
        <v>45261</v>
      </c>
      <c r="F28" s="55">
        <f ca="1">IF(C28,ROUND(PRODUCT(H$2:INDEX(H$2:Z$2,MATCH(C28,H$1:Z$1,)-1)),4),"")</f>
        <v>1.0431999999999999</v>
      </c>
      <c r="G28" s="75">
        <f ca="1">IF(E28,ROUND(PRODUCT(INDEX(H$2:Z$2,MATCH(C28,H$1:Z$1,)):INDEX(H$2:Z$2,MATCH(E28,H$1:Z$1,))),4),"")</f>
        <v>1.0085</v>
      </c>
      <c r="H28" s="174">
        <f t="shared" si="4"/>
        <v>1.0085</v>
      </c>
      <c r="I28" s="174">
        <f t="shared" si="4"/>
        <v>1.0085</v>
      </c>
      <c r="J28" s="174">
        <f t="shared" si="4"/>
        <v>1.0085</v>
      </c>
      <c r="K28" s="174">
        <f t="shared" si="4"/>
        <v>1.0085</v>
      </c>
      <c r="L28" s="174">
        <f t="shared" si="4"/>
        <v>1.0085</v>
      </c>
      <c r="M28" s="174">
        <f t="shared" si="4"/>
        <v>1.0085</v>
      </c>
      <c r="N28" s="174" t="str">
        <f t="shared" si="4"/>
        <v/>
      </c>
      <c r="O28" s="174" t="str">
        <f t="shared" si="4"/>
        <v/>
      </c>
      <c r="P28" s="174" t="str">
        <f t="shared" si="4"/>
        <v/>
      </c>
      <c r="Q28" s="174" t="str">
        <f t="shared" si="4"/>
        <v/>
      </c>
      <c r="R28" s="174" t="str">
        <f t="shared" si="4"/>
        <v/>
      </c>
      <c r="S28" s="174" t="str">
        <f t="shared" si="4"/>
        <v/>
      </c>
      <c r="T28" s="174" t="str">
        <f t="shared" si="4"/>
        <v/>
      </c>
      <c r="U28" s="174" t="str">
        <f t="shared" si="4"/>
        <v/>
      </c>
      <c r="V28" s="174" t="str">
        <f t="shared" si="4"/>
        <v/>
      </c>
      <c r="W28" s="174" t="str">
        <f t="shared" si="4"/>
        <v/>
      </c>
      <c r="X28" s="174" t="str">
        <f t="shared" si="5"/>
        <v/>
      </c>
      <c r="Y28" s="174" t="str">
        <f t="shared" si="5"/>
        <v/>
      </c>
      <c r="Z28" s="177" t="str">
        <f t="shared" si="5"/>
        <v/>
      </c>
    </row>
    <row r="29" spans="1:26" ht="33.75">
      <c r="A29" s="56" t="s">
        <v>134</v>
      </c>
      <c r="B29" s="57" t="s">
        <v>139</v>
      </c>
      <c r="C29" s="172">
        <f>T1</f>
        <v>45474</v>
      </c>
      <c r="D29" s="173" t="s">
        <v>1</v>
      </c>
      <c r="E29" s="172">
        <f>U1</f>
        <v>45505</v>
      </c>
      <c r="F29" s="55">
        <f ca="1">IF(C29,ROUND(PRODUCT(H$2:INDEX(H$2:Z$2,MATCH(C29,H$1:Z$1,)-1)),4),"")</f>
        <v>1.101</v>
      </c>
      <c r="G29" s="74">
        <f ca="1">IF(E29,ROUND(PRODUCT(INDEX(H$2:Z$2,MATCH(C29,H$1:Z$1,)):INDEX(H$2:Z$2,MATCH(E29,H$1:Z$1,))),4),"")</f>
        <v>1.0153000000000001</v>
      </c>
      <c r="H29" s="174">
        <f t="shared" si="4"/>
        <v>1.0085</v>
      </c>
      <c r="I29" s="174">
        <f t="shared" si="4"/>
        <v>1.0085</v>
      </c>
      <c r="J29" s="174">
        <f t="shared" si="4"/>
        <v>1.0085</v>
      </c>
      <c r="K29" s="174">
        <f t="shared" si="4"/>
        <v>1.0085</v>
      </c>
      <c r="L29" s="174">
        <f t="shared" si="4"/>
        <v>1.0085</v>
      </c>
      <c r="M29" s="174">
        <f t="shared" si="4"/>
        <v>1.0085</v>
      </c>
      <c r="N29" s="174">
        <f t="shared" si="4"/>
        <v>1.0076000000000001</v>
      </c>
      <c r="O29" s="174">
        <f t="shared" si="4"/>
        <v>1.0076000000000001</v>
      </c>
      <c r="P29" s="174">
        <f t="shared" si="4"/>
        <v>1.0076000000000001</v>
      </c>
      <c r="Q29" s="174">
        <f t="shared" si="4"/>
        <v>1.0076000000000001</v>
      </c>
      <c r="R29" s="174">
        <f t="shared" si="4"/>
        <v>1.0076000000000001</v>
      </c>
      <c r="S29" s="174">
        <f t="shared" si="4"/>
        <v>1.0076000000000001</v>
      </c>
      <c r="T29" s="174">
        <f t="shared" si="4"/>
        <v>1.0076000000000001</v>
      </c>
      <c r="U29" s="174">
        <f t="shared" si="4"/>
        <v>1.0076000000000001</v>
      </c>
      <c r="V29" s="174" t="str">
        <f t="shared" si="4"/>
        <v/>
      </c>
      <c r="W29" s="174" t="str">
        <f t="shared" si="4"/>
        <v/>
      </c>
      <c r="X29" s="174" t="str">
        <f t="shared" si="5"/>
        <v/>
      </c>
      <c r="Y29" s="174" t="str">
        <f t="shared" si="5"/>
        <v/>
      </c>
      <c r="Z29" s="177" t="str">
        <f t="shared" si="5"/>
        <v/>
      </c>
    </row>
    <row r="30" spans="1:26" ht="45">
      <c r="A30" s="56" t="s">
        <v>135</v>
      </c>
      <c r="B30" s="81" t="s">
        <v>224</v>
      </c>
      <c r="C30" s="172"/>
      <c r="D30" s="173" t="s">
        <v>1</v>
      </c>
      <c r="E30" s="172"/>
      <c r="F30" s="73" t="str">
        <f ca="1">IF(C30,ROUND(PRODUCT(H$2:INDEX(H$2:Z$2,MATCH(C30,H$1:Z$1,)-1)),4),"")</f>
        <v/>
      </c>
      <c r="G30" s="76" t="str">
        <f ca="1">IF(E30,ROUND(PRODUCT(INDEX(H$2:Z$2,MATCH(C30,H$1:Z$1,)):INDEX(H$2:Z$2,MATCH(E30,H$1:Z$1,))),4),"")</f>
        <v/>
      </c>
      <c r="H30" s="174" t="str">
        <f t="shared" si="4"/>
        <v/>
      </c>
      <c r="I30" s="174" t="str">
        <f t="shared" si="4"/>
        <v/>
      </c>
      <c r="J30" s="174" t="str">
        <f t="shared" si="4"/>
        <v/>
      </c>
      <c r="K30" s="174" t="str">
        <f t="shared" si="4"/>
        <v/>
      </c>
      <c r="L30" s="174" t="str">
        <f t="shared" si="4"/>
        <v/>
      </c>
      <c r="M30" s="174" t="str">
        <f t="shared" si="4"/>
        <v/>
      </c>
      <c r="N30" s="174" t="str">
        <f t="shared" si="4"/>
        <v/>
      </c>
      <c r="O30" s="174" t="str">
        <f t="shared" si="4"/>
        <v/>
      </c>
      <c r="P30" s="174" t="str">
        <f t="shared" si="4"/>
        <v/>
      </c>
      <c r="Q30" s="174" t="str">
        <f t="shared" si="4"/>
        <v/>
      </c>
      <c r="R30" s="174" t="str">
        <f t="shared" si="4"/>
        <v/>
      </c>
      <c r="S30" s="174" t="str">
        <f t="shared" si="4"/>
        <v/>
      </c>
      <c r="T30" s="174" t="str">
        <f t="shared" si="4"/>
        <v/>
      </c>
      <c r="U30" s="174" t="str">
        <f t="shared" si="4"/>
        <v/>
      </c>
      <c r="V30" s="174" t="str">
        <f t="shared" si="4"/>
        <v/>
      </c>
      <c r="W30" s="174" t="str">
        <f t="shared" si="4"/>
        <v/>
      </c>
      <c r="X30" s="174" t="str">
        <f t="shared" si="5"/>
        <v/>
      </c>
      <c r="Y30" s="174" t="str">
        <f t="shared" si="5"/>
        <v/>
      </c>
      <c r="Z30" s="177" t="str">
        <f t="shared" si="5"/>
        <v/>
      </c>
    </row>
    <row r="31" spans="1:26" ht="45">
      <c r="A31" s="56" t="s">
        <v>136</v>
      </c>
      <c r="B31" s="57" t="s">
        <v>140</v>
      </c>
      <c r="C31" s="172">
        <f>W1</f>
        <v>45566</v>
      </c>
      <c r="D31" s="173" t="s">
        <v>1</v>
      </c>
      <c r="E31" s="172">
        <f>Y1</f>
        <v>45627</v>
      </c>
      <c r="F31" s="55">
        <f ca="1">IF(C31,ROUND(PRODUCT(H$2:INDEX(H$2:Z$2,MATCH(C31,H$1:Z$1,)-1)),4),"")</f>
        <v>1.1263000000000001</v>
      </c>
      <c r="G31" s="80">
        <f ca="1">IF(E31,ROUND(PRODUCT(INDEX(H$2:Z$2,MATCH(C31,H$1:Z$1,)):INDEX(H$2:Z$2,MATCH(E31,H$1:Z$1,))),4),"")</f>
        <v>1.0229999999999999</v>
      </c>
      <c r="H31" s="174">
        <f t="shared" si="4"/>
        <v>1.0085</v>
      </c>
      <c r="I31" s="174">
        <f t="shared" si="4"/>
        <v>1.0085</v>
      </c>
      <c r="J31" s="174">
        <f t="shared" si="4"/>
        <v>1.0085</v>
      </c>
      <c r="K31" s="174">
        <f t="shared" si="4"/>
        <v>1.0085</v>
      </c>
      <c r="L31" s="174">
        <f t="shared" si="4"/>
        <v>1.0085</v>
      </c>
      <c r="M31" s="174">
        <f t="shared" si="4"/>
        <v>1.0085</v>
      </c>
      <c r="N31" s="174">
        <f t="shared" si="4"/>
        <v>1.0076000000000001</v>
      </c>
      <c r="O31" s="174">
        <f t="shared" si="4"/>
        <v>1.0076000000000001</v>
      </c>
      <c r="P31" s="174">
        <f t="shared" si="4"/>
        <v>1.0076000000000001</v>
      </c>
      <c r="Q31" s="174">
        <f t="shared" si="4"/>
        <v>1.0076000000000001</v>
      </c>
      <c r="R31" s="174">
        <f t="shared" si="4"/>
        <v>1.0076000000000001</v>
      </c>
      <c r="S31" s="174">
        <f t="shared" si="4"/>
        <v>1.0076000000000001</v>
      </c>
      <c r="T31" s="174">
        <f t="shared" si="4"/>
        <v>1.0076000000000001</v>
      </c>
      <c r="U31" s="174">
        <f t="shared" si="4"/>
        <v>1.0076000000000001</v>
      </c>
      <c r="V31" s="174">
        <f t="shared" si="4"/>
        <v>1.0076000000000001</v>
      </c>
      <c r="W31" s="174">
        <f t="shared" si="4"/>
        <v>1.0076000000000001</v>
      </c>
      <c r="X31" s="174">
        <f t="shared" si="5"/>
        <v>1.0076000000000001</v>
      </c>
      <c r="Y31" s="174">
        <f t="shared" si="5"/>
        <v>1.0076000000000001</v>
      </c>
      <c r="Z31" s="176" t="str">
        <f t="shared" si="5"/>
        <v/>
      </c>
    </row>
    <row r="32" spans="1:26" s="20" customFormat="1" ht="13.5" customHeight="1">
      <c r="A32" s="64" t="s">
        <v>18</v>
      </c>
      <c r="B32" s="70" t="s">
        <v>141</v>
      </c>
      <c r="C32" s="123"/>
      <c r="D32" s="125"/>
      <c r="E32" s="126"/>
      <c r="F32" s="66"/>
      <c r="G32" s="67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9"/>
    </row>
    <row r="33" spans="1:26" ht="45.75" customHeight="1">
      <c r="A33" s="58" t="s">
        <v>19</v>
      </c>
      <c r="B33" s="59" t="s">
        <v>142</v>
      </c>
      <c r="C33" s="172">
        <f>J1</f>
        <v>45170</v>
      </c>
      <c r="D33" s="173" t="s">
        <v>1</v>
      </c>
      <c r="E33" s="172">
        <f>Z1</f>
        <v>45658</v>
      </c>
      <c r="F33" s="72">
        <f ca="1">IF(C33,ROUND(PRODUCT(H$2:INDEX(H$2:Z$2,MATCH(C33,H$1:Z$1,)-1)),4),"")</f>
        <v>1.0170999999999999</v>
      </c>
      <c r="G33" s="74">
        <f ca="1">IF(E33,ROUND(PRODUCT(INDEX(H$2:Z$2,MATCH(C33,H$1:Z$1,)):INDEX(H$2:Z$2,MATCH(E33,H$1:Z$1,))),4),"")</f>
        <v>1.1404000000000001</v>
      </c>
      <c r="H33" s="174">
        <f>IF(H$1&lt;$C33,H$2,IF(H$1&lt;=$E33,H$2,""))</f>
        <v>1.0085</v>
      </c>
      <c r="I33" s="174">
        <f t="shared" ref="I33:Z33" si="6">IF(I$1&lt;$C33,I$2,IF(I$1&lt;=$E33,I$2,""))</f>
        <v>1.0085</v>
      </c>
      <c r="J33" s="174">
        <f t="shared" si="6"/>
        <v>1.0085</v>
      </c>
      <c r="K33" s="174">
        <f t="shared" si="6"/>
        <v>1.0085</v>
      </c>
      <c r="L33" s="174">
        <f t="shared" si="6"/>
        <v>1.0085</v>
      </c>
      <c r="M33" s="174">
        <f t="shared" si="6"/>
        <v>1.0085</v>
      </c>
      <c r="N33" s="174">
        <f t="shared" si="6"/>
        <v>1.0076000000000001</v>
      </c>
      <c r="O33" s="174">
        <f t="shared" si="6"/>
        <v>1.0076000000000001</v>
      </c>
      <c r="P33" s="174">
        <f t="shared" si="6"/>
        <v>1.0076000000000001</v>
      </c>
      <c r="Q33" s="174">
        <f t="shared" si="6"/>
        <v>1.0076000000000001</v>
      </c>
      <c r="R33" s="174">
        <f t="shared" si="6"/>
        <v>1.0076000000000001</v>
      </c>
      <c r="S33" s="174">
        <f t="shared" si="6"/>
        <v>1.0076000000000001</v>
      </c>
      <c r="T33" s="174">
        <f t="shared" si="6"/>
        <v>1.0076000000000001</v>
      </c>
      <c r="U33" s="174">
        <f t="shared" si="6"/>
        <v>1.0076000000000001</v>
      </c>
      <c r="V33" s="174">
        <f t="shared" si="6"/>
        <v>1.0076000000000001</v>
      </c>
      <c r="W33" s="174">
        <f t="shared" si="6"/>
        <v>1.0076000000000001</v>
      </c>
      <c r="X33" s="174">
        <f t="shared" si="6"/>
        <v>1.0076000000000001</v>
      </c>
      <c r="Y33" s="174">
        <f t="shared" si="6"/>
        <v>1.0076000000000001</v>
      </c>
      <c r="Z33" s="178">
        <f t="shared" si="6"/>
        <v>1.0066999999999999</v>
      </c>
    </row>
    <row r="34" spans="1:26" s="20" customFormat="1" ht="13.5" customHeight="1">
      <c r="A34" s="64" t="s">
        <v>20</v>
      </c>
      <c r="B34" s="70" t="s">
        <v>143</v>
      </c>
      <c r="C34" s="123"/>
      <c r="D34" s="125"/>
      <c r="E34" s="126"/>
      <c r="F34" s="66"/>
      <c r="G34" s="67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9"/>
    </row>
    <row r="35" spans="1:26" ht="67.5">
      <c r="A35" s="58" t="s">
        <v>21</v>
      </c>
      <c r="B35" s="59" t="s">
        <v>144</v>
      </c>
      <c r="C35" s="172">
        <f>V1</f>
        <v>45536</v>
      </c>
      <c r="D35" s="173" t="s">
        <v>1</v>
      </c>
      <c r="E35" s="172">
        <f>Z1</f>
        <v>45658</v>
      </c>
      <c r="F35" s="55">
        <f ca="1">IF(C35,ROUND(PRODUCT(H$2:INDEX(H$2:Z$2,MATCH(C35,H$1:Z$1,)-1)),4),"")</f>
        <v>1.1177999999999999</v>
      </c>
      <c r="G35" s="74">
        <f ca="1">IF(E35,ROUND(PRODUCT(INDEX(H$2:Z$2,MATCH(C35,H$1:Z$1,)):INDEX(H$2:Z$2,MATCH(E35,H$1:Z$1,))),4),"")</f>
        <v>1.0377000000000001</v>
      </c>
      <c r="H35" s="174">
        <f>IF(H$1&lt;$C35,H$2,IF(H$1&lt;=$E35,H$2,""))</f>
        <v>1.0085</v>
      </c>
      <c r="I35" s="174">
        <f t="shared" ref="I35:Z35" si="7">IF(I$1&lt;$C35,I$2,IF(I$1&lt;=$E35,I$2,""))</f>
        <v>1.0085</v>
      </c>
      <c r="J35" s="174">
        <f t="shared" si="7"/>
        <v>1.0085</v>
      </c>
      <c r="K35" s="174">
        <f t="shared" si="7"/>
        <v>1.0085</v>
      </c>
      <c r="L35" s="174">
        <f t="shared" si="7"/>
        <v>1.0085</v>
      </c>
      <c r="M35" s="174">
        <f t="shared" si="7"/>
        <v>1.0085</v>
      </c>
      <c r="N35" s="174">
        <f t="shared" si="7"/>
        <v>1.0076000000000001</v>
      </c>
      <c r="O35" s="174">
        <f t="shared" si="7"/>
        <v>1.0076000000000001</v>
      </c>
      <c r="P35" s="174">
        <f t="shared" si="7"/>
        <v>1.0076000000000001</v>
      </c>
      <c r="Q35" s="174">
        <f t="shared" si="7"/>
        <v>1.0076000000000001</v>
      </c>
      <c r="R35" s="174">
        <f t="shared" si="7"/>
        <v>1.0076000000000001</v>
      </c>
      <c r="S35" s="174">
        <f t="shared" si="7"/>
        <v>1.0076000000000001</v>
      </c>
      <c r="T35" s="174">
        <f t="shared" si="7"/>
        <v>1.0076000000000001</v>
      </c>
      <c r="U35" s="174">
        <f t="shared" si="7"/>
        <v>1.0076000000000001</v>
      </c>
      <c r="V35" s="174">
        <f t="shared" si="7"/>
        <v>1.0076000000000001</v>
      </c>
      <c r="W35" s="174">
        <f t="shared" si="7"/>
        <v>1.0076000000000001</v>
      </c>
      <c r="X35" s="174">
        <f t="shared" si="7"/>
        <v>1.0076000000000001</v>
      </c>
      <c r="Y35" s="174">
        <f t="shared" si="7"/>
        <v>1.0076000000000001</v>
      </c>
      <c r="Z35" s="178">
        <f t="shared" si="7"/>
        <v>1.0066999999999999</v>
      </c>
    </row>
    <row r="36" spans="1:26" s="20" customFormat="1" ht="13.5" customHeight="1">
      <c r="A36" s="64" t="s">
        <v>67</v>
      </c>
      <c r="B36" s="70" t="s">
        <v>145</v>
      </c>
      <c r="C36" s="123"/>
      <c r="D36" s="125"/>
      <c r="E36" s="126"/>
      <c r="F36" s="66"/>
      <c r="G36" s="67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9"/>
    </row>
    <row r="37" spans="1:26" ht="56.25">
      <c r="A37" s="58" t="s">
        <v>69</v>
      </c>
      <c r="B37" s="59" t="s">
        <v>146</v>
      </c>
      <c r="C37" s="172">
        <f>W1</f>
        <v>45566</v>
      </c>
      <c r="D37" s="173" t="s">
        <v>1</v>
      </c>
      <c r="E37" s="172">
        <f>Z1</f>
        <v>45658</v>
      </c>
      <c r="F37" s="55">
        <f ca="1">IF(C37,ROUND(PRODUCT(H$2:INDEX(H$2:Z$2,MATCH(C37,H$1:Z$1,)-1)),4),"")</f>
        <v>1.1263000000000001</v>
      </c>
      <c r="G37" s="74">
        <f ca="1">IF(E37,ROUND(PRODUCT(INDEX(H$2:Z$2,MATCH(C37,H$1:Z$1,)):INDEX(H$2:Z$2,MATCH(E37,H$1:Z$1,))),4),"")</f>
        <v>1.0298</v>
      </c>
      <c r="H37" s="174">
        <f>IF(H$1&lt;$C37,H$2,IF(H$1&lt;=$E37,H$2,""))</f>
        <v>1.0085</v>
      </c>
      <c r="I37" s="174">
        <f t="shared" ref="I37:Z37" si="8">IF(I$1&lt;$C37,I$2,IF(I$1&lt;=$E37,I$2,""))</f>
        <v>1.0085</v>
      </c>
      <c r="J37" s="174">
        <f t="shared" si="8"/>
        <v>1.0085</v>
      </c>
      <c r="K37" s="174">
        <f t="shared" si="8"/>
        <v>1.0085</v>
      </c>
      <c r="L37" s="174">
        <f t="shared" si="8"/>
        <v>1.0085</v>
      </c>
      <c r="M37" s="174">
        <f t="shared" si="8"/>
        <v>1.0085</v>
      </c>
      <c r="N37" s="174">
        <f t="shared" si="8"/>
        <v>1.0076000000000001</v>
      </c>
      <c r="O37" s="174">
        <f t="shared" si="8"/>
        <v>1.0076000000000001</v>
      </c>
      <c r="P37" s="174">
        <f t="shared" si="8"/>
        <v>1.0076000000000001</v>
      </c>
      <c r="Q37" s="174">
        <f t="shared" si="8"/>
        <v>1.0076000000000001</v>
      </c>
      <c r="R37" s="174">
        <f t="shared" si="8"/>
        <v>1.0076000000000001</v>
      </c>
      <c r="S37" s="174">
        <f t="shared" si="8"/>
        <v>1.0076000000000001</v>
      </c>
      <c r="T37" s="174">
        <f t="shared" si="8"/>
        <v>1.0076000000000001</v>
      </c>
      <c r="U37" s="174">
        <f t="shared" si="8"/>
        <v>1.0076000000000001</v>
      </c>
      <c r="V37" s="174">
        <f t="shared" si="8"/>
        <v>1.0076000000000001</v>
      </c>
      <c r="W37" s="174">
        <f t="shared" si="8"/>
        <v>1.0076000000000001</v>
      </c>
      <c r="X37" s="174">
        <f t="shared" si="8"/>
        <v>1.0076000000000001</v>
      </c>
      <c r="Y37" s="174">
        <f t="shared" si="8"/>
        <v>1.0076000000000001</v>
      </c>
      <c r="Z37" s="178">
        <f t="shared" si="8"/>
        <v>1.0066999999999999</v>
      </c>
    </row>
    <row r="38" spans="1:26" s="20" customFormat="1" ht="13.5" customHeight="1">
      <c r="A38" s="64" t="s">
        <v>147</v>
      </c>
      <c r="B38" s="70" t="s">
        <v>150</v>
      </c>
      <c r="C38" s="123"/>
      <c r="D38" s="125"/>
      <c r="E38" s="126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9"/>
    </row>
    <row r="39" spans="1:26" ht="22.5">
      <c r="A39" s="58" t="s">
        <v>149</v>
      </c>
      <c r="B39" s="59" t="s">
        <v>148</v>
      </c>
      <c r="C39" s="172">
        <f>Z1</f>
        <v>45658</v>
      </c>
      <c r="D39" s="173" t="s">
        <v>1</v>
      </c>
      <c r="E39" s="172">
        <f>Z1</f>
        <v>45658</v>
      </c>
      <c r="F39" s="55">
        <f ca="1">IF(C39,ROUND(PRODUCT(H$2:INDEX(H$2:Z$2,MATCH(C39,H$1:Z$1,)-1)),4),"")</f>
        <v>1.1521999999999999</v>
      </c>
      <c r="G39" s="74">
        <f ca="1">IF(E39,ROUND(PRODUCT(INDEX(H$2:Z$2,MATCH(C39,H$1:Z$1,)):INDEX(H$2:Z$2,MATCH(E39,H$1:Z$1,))),4),"")</f>
        <v>1.0066999999999999</v>
      </c>
      <c r="H39" s="174">
        <f>IF(H$1&lt;$C39,H$2,IF(H$1&lt;=$E39,H$2,""))</f>
        <v>1.0085</v>
      </c>
      <c r="I39" s="174">
        <f t="shared" ref="I39:Z39" si="9">IF(I$1&lt;$C39,I$2,IF(I$1&lt;=$E39,I$2,""))</f>
        <v>1.0085</v>
      </c>
      <c r="J39" s="174">
        <f t="shared" si="9"/>
        <v>1.0085</v>
      </c>
      <c r="K39" s="174">
        <f t="shared" si="9"/>
        <v>1.0085</v>
      </c>
      <c r="L39" s="174">
        <f t="shared" si="9"/>
        <v>1.0085</v>
      </c>
      <c r="M39" s="174">
        <f t="shared" si="9"/>
        <v>1.0085</v>
      </c>
      <c r="N39" s="174">
        <f t="shared" si="9"/>
        <v>1.0076000000000001</v>
      </c>
      <c r="O39" s="174">
        <f t="shared" si="9"/>
        <v>1.0076000000000001</v>
      </c>
      <c r="P39" s="174">
        <f t="shared" si="9"/>
        <v>1.0076000000000001</v>
      </c>
      <c r="Q39" s="174">
        <f t="shared" si="9"/>
        <v>1.0076000000000001</v>
      </c>
      <c r="R39" s="174">
        <f t="shared" si="9"/>
        <v>1.0076000000000001</v>
      </c>
      <c r="S39" s="174">
        <f t="shared" si="9"/>
        <v>1.0076000000000001</v>
      </c>
      <c r="T39" s="174">
        <f t="shared" si="9"/>
        <v>1.0076000000000001</v>
      </c>
      <c r="U39" s="174">
        <f t="shared" si="9"/>
        <v>1.0076000000000001</v>
      </c>
      <c r="V39" s="174">
        <f t="shared" si="9"/>
        <v>1.0076000000000001</v>
      </c>
      <c r="W39" s="174">
        <f t="shared" si="9"/>
        <v>1.0076000000000001</v>
      </c>
      <c r="X39" s="174">
        <f t="shared" si="9"/>
        <v>1.0076000000000001</v>
      </c>
      <c r="Y39" s="174">
        <f t="shared" si="9"/>
        <v>1.0076000000000001</v>
      </c>
      <c r="Z39" s="178">
        <f t="shared" si="9"/>
        <v>1.0066999999999999</v>
      </c>
    </row>
    <row r="40" spans="1:26" s="20" customFormat="1" ht="13.5" hidden="1" customHeight="1">
      <c r="A40" s="64" t="s">
        <v>151</v>
      </c>
      <c r="B40" s="70" t="s">
        <v>152</v>
      </c>
      <c r="C40" s="123"/>
      <c r="D40" s="125"/>
      <c r="E40" s="126"/>
      <c r="F40" s="66"/>
      <c r="G40" s="67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9"/>
    </row>
    <row r="41" spans="1:26" ht="33.75" hidden="1">
      <c r="A41" s="58" t="s">
        <v>154</v>
      </c>
      <c r="B41" s="59" t="s">
        <v>153</v>
      </c>
      <c r="C41" s="60"/>
      <c r="D41" s="71" t="s">
        <v>1</v>
      </c>
      <c r="E41" s="71"/>
      <c r="F41" s="72"/>
      <c r="G41" s="74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spans="1:26" s="20" customFormat="1" ht="13.5" customHeight="1">
      <c r="A42" s="64" t="s">
        <v>68</v>
      </c>
      <c r="B42" s="70" t="s">
        <v>155</v>
      </c>
      <c r="C42" s="123"/>
      <c r="D42" s="125"/>
      <c r="E42" s="126"/>
      <c r="F42" s="66"/>
      <c r="G42" s="67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9"/>
    </row>
    <row r="43" spans="1:26" ht="68.25" customHeight="1">
      <c r="A43" s="82" t="s">
        <v>156</v>
      </c>
      <c r="B43" s="83" t="s">
        <v>157</v>
      </c>
      <c r="C43" s="172"/>
      <c r="D43" s="173" t="s">
        <v>1</v>
      </c>
      <c r="E43" s="172"/>
      <c r="F43" s="84" t="str">
        <f ca="1">IF(C43,ROUND(PRODUCT(H$2:INDEX(H$2:Z$2,MATCH(C43,H$1:Z$1,)-1)),4),"")</f>
        <v/>
      </c>
      <c r="G43" s="85" t="str">
        <f ca="1">IF(E43,ROUND(PRODUCT(INDEX(H$2:Z$2,MATCH(C43,H$1:Z$1,)):INDEX(H$2:Z$2,MATCH(E43,H$1:Z$1,))),4),"")</f>
        <v/>
      </c>
      <c r="H43" s="174" t="str">
        <f>IF(H$1&lt;$C43,H$2,IF(H$1&lt;=$E43,H$2,""))</f>
        <v/>
      </c>
      <c r="I43" s="174" t="str">
        <f t="shared" ref="I43:Z43" si="10">IF(I$1&lt;$C43,I$2,IF(I$1&lt;=$E43,I$2,""))</f>
        <v/>
      </c>
      <c r="J43" s="174" t="str">
        <f t="shared" si="10"/>
        <v/>
      </c>
      <c r="K43" s="174" t="str">
        <f t="shared" si="10"/>
        <v/>
      </c>
      <c r="L43" s="174" t="str">
        <f t="shared" si="10"/>
        <v/>
      </c>
      <c r="M43" s="174" t="str">
        <f t="shared" si="10"/>
        <v/>
      </c>
      <c r="N43" s="174" t="str">
        <f t="shared" si="10"/>
        <v/>
      </c>
      <c r="O43" s="174" t="str">
        <f t="shared" si="10"/>
        <v/>
      </c>
      <c r="P43" s="174" t="str">
        <f t="shared" si="10"/>
        <v/>
      </c>
      <c r="Q43" s="174" t="str">
        <f t="shared" si="10"/>
        <v/>
      </c>
      <c r="R43" s="174" t="str">
        <f t="shared" si="10"/>
        <v/>
      </c>
      <c r="S43" s="174" t="str">
        <f t="shared" si="10"/>
        <v/>
      </c>
      <c r="T43" s="174" t="str">
        <f t="shared" si="10"/>
        <v/>
      </c>
      <c r="U43" s="174" t="str">
        <f t="shared" si="10"/>
        <v/>
      </c>
      <c r="V43" s="174" t="str">
        <f t="shared" si="10"/>
        <v/>
      </c>
      <c r="W43" s="174" t="str">
        <f t="shared" si="10"/>
        <v/>
      </c>
      <c r="X43" s="174" t="str">
        <f t="shared" si="10"/>
        <v/>
      </c>
      <c r="Y43" s="174" t="str">
        <f t="shared" si="10"/>
        <v/>
      </c>
      <c r="Z43" s="178" t="str">
        <f t="shared" si="10"/>
        <v/>
      </c>
    </row>
  </sheetData>
  <mergeCells count="1">
    <mergeCell ref="B2:G2"/>
  </mergeCells>
  <phoneticPr fontId="23" type="noConversion"/>
  <conditionalFormatting sqref="H4:Z6 H8:Z11 H13:Z14 H16:Z16 H18:Z24 H26:Z31 H33:Z33 H35:Z35 H37:Z37 H39:Z39 H43:Z43">
    <cfRule type="expression" dxfId="1" priority="1" stopIfTrue="1">
      <formula>H$1&lt;$C4</formula>
    </cfRule>
    <cfRule type="expression" dxfId="0" priority="2" stopIfTrue="1">
      <formula>H$1&lt;=$E4</formula>
    </cfRule>
  </conditionalFormatting>
  <pageMargins left="0.31496062992125984" right="0.31496062992125984" top="0.55118110236220474" bottom="0.15748031496062992" header="0.11811023622047245" footer="0.11811023622047245"/>
  <pageSetup paperSize="9" scale="90" orientation="landscape" r:id="rId1"/>
  <rowBreaks count="1" manualBreakCount="1">
    <brk id="24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Смета услуги заказчика</vt:lpstr>
      <vt:lpstr>график</vt:lpstr>
      <vt:lpstr>график!Заголовки_для_печати</vt:lpstr>
      <vt:lpstr>график!Область_печати</vt:lpstr>
      <vt:lpstr>'Смета услуги заказчика'!Область_печати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AlexM</cp:lastModifiedBy>
  <cp:lastPrinted>2023-08-23T07:14:35Z</cp:lastPrinted>
  <dcterms:created xsi:type="dcterms:W3CDTF">2018-04-24T07:17:11Z</dcterms:created>
  <dcterms:modified xsi:type="dcterms:W3CDTF">2024-01-04T09:43:08Z</dcterms:modified>
</cp:coreProperties>
</file>