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showInkAnnotation="0" updateLinks="never" defaultThemeVersion="124226"/>
  <xr:revisionPtr revIDLastSave="0" documentId="13_ncr:1_{24A433AE-B60A-4EAC-8CC4-CCBA4F94F912}" xr6:coauthVersionLast="47" xr6:coauthVersionMax="47" xr10:uidLastSave="{00000000-0000-0000-0000-000000000000}"/>
  <bookViews>
    <workbookView xWindow="-120" yWindow="-120" windowWidth="29040" windowHeight="15840" tabRatio="843" activeTab="1" xr2:uid="{00000000-000D-0000-FFFF-FFFF00000000}"/>
  </bookViews>
  <sheets>
    <sheet name="DATA" sheetId="70" r:id="rId1"/>
    <sheet name="Апрель" sheetId="187" r:id="rId2"/>
  </sheets>
  <definedNames>
    <definedName name="_xlnm.Print_Area" localSheetId="1">Апрель!$A$1:$AT$28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4" i="187" l="1"/>
  <c r="D38" i="187"/>
  <c r="E22" i="70"/>
  <c r="A4" i="70"/>
  <c r="A5" i="70"/>
  <c r="A6" i="70"/>
  <c r="A7" i="70"/>
  <c r="A8" i="70"/>
  <c r="A9" i="70"/>
  <c r="A10" i="70"/>
  <c r="A11" i="70"/>
  <c r="A12" i="70"/>
  <c r="A13" i="70"/>
  <c r="A2" i="70"/>
  <c r="A3" i="70"/>
  <c r="AS6" i="187" l="1"/>
  <c r="AS8" i="187"/>
  <c r="AS10" i="187"/>
  <c r="AS12" i="187"/>
  <c r="AS14" i="187"/>
  <c r="AS16" i="187"/>
  <c r="AS18" i="187"/>
  <c r="AS20" i="187"/>
  <c r="AS22" i="187"/>
  <c r="AS24" i="187"/>
  <c r="AS26" i="187"/>
  <c r="AS4" i="187"/>
  <c r="AT26" i="187"/>
  <c r="AR26" i="187"/>
  <c r="AQ26" i="187"/>
  <c r="AP26" i="187"/>
  <c r="AN26" i="187"/>
  <c r="AJ26" i="187"/>
  <c r="D26" i="187"/>
  <c r="C26" i="187"/>
  <c r="A26" i="187" s="1"/>
  <c r="AT24" i="187"/>
  <c r="AR24" i="187"/>
  <c r="AP24" i="187"/>
  <c r="AN24" i="187"/>
  <c r="AJ24" i="187"/>
  <c r="D24" i="187"/>
  <c r="C24" i="187"/>
  <c r="A24" i="187" s="1"/>
  <c r="AT22" i="187"/>
  <c r="AR22" i="187"/>
  <c r="AQ22" i="187"/>
  <c r="AP22" i="187"/>
  <c r="AN22" i="187"/>
  <c r="AJ22" i="187"/>
  <c r="D22" i="187"/>
  <c r="C22" i="187"/>
  <c r="A22" i="187" s="1"/>
  <c r="AT20" i="187"/>
  <c r="AR20" i="187"/>
  <c r="AQ20" i="187"/>
  <c r="AP20" i="187"/>
  <c r="AN20" i="187"/>
  <c r="AJ20" i="187"/>
  <c r="D20" i="187"/>
  <c r="C20" i="187"/>
  <c r="A20" i="187" s="1"/>
  <c r="AT18" i="187"/>
  <c r="AR18" i="187"/>
  <c r="AQ18" i="187"/>
  <c r="AP18" i="187"/>
  <c r="AN18" i="187"/>
  <c r="AJ18" i="187"/>
  <c r="D18" i="187"/>
  <c r="C18" i="187"/>
  <c r="A18" i="187" s="1"/>
  <c r="AT16" i="187"/>
  <c r="AR16" i="187"/>
  <c r="AQ16" i="187"/>
  <c r="AP16" i="187"/>
  <c r="AN16" i="187"/>
  <c r="AJ16" i="187"/>
  <c r="D16" i="187"/>
  <c r="C16" i="187"/>
  <c r="A16" i="187" s="1"/>
  <c r="AT14" i="187"/>
  <c r="AR14" i="187"/>
  <c r="AQ14" i="187"/>
  <c r="AP14" i="187"/>
  <c r="AN14" i="187"/>
  <c r="AJ14" i="187"/>
  <c r="D14" i="187"/>
  <c r="C14" i="187"/>
  <c r="A14" i="187" s="1"/>
  <c r="AT12" i="187"/>
  <c r="AR12" i="187"/>
  <c r="AQ12" i="187"/>
  <c r="AP12" i="187"/>
  <c r="AN12" i="187"/>
  <c r="AJ12" i="187"/>
  <c r="D12" i="187"/>
  <c r="C12" i="187"/>
  <c r="A12" i="187" s="1"/>
  <c r="AT10" i="187"/>
  <c r="AR10" i="187"/>
  <c r="AQ10" i="187"/>
  <c r="AP10" i="187"/>
  <c r="AN10" i="187"/>
  <c r="AJ10" i="187"/>
  <c r="D10" i="187"/>
  <c r="C10" i="187"/>
  <c r="A10" i="187" s="1"/>
  <c r="AT8" i="187"/>
  <c r="AR8" i="187"/>
  <c r="AQ8" i="187"/>
  <c r="AP8" i="187"/>
  <c r="AN8" i="187"/>
  <c r="AJ8" i="187"/>
  <c r="D8" i="187"/>
  <c r="C8" i="187"/>
  <c r="A8" i="187" s="1"/>
  <c r="AT6" i="187"/>
  <c r="AR6" i="187"/>
  <c r="AQ6" i="187"/>
  <c r="AP6" i="187"/>
  <c r="AN6" i="187"/>
  <c r="AJ6" i="187"/>
  <c r="D6" i="187"/>
  <c r="C6" i="187"/>
  <c r="A6" i="187" s="1"/>
  <c r="AT4" i="187"/>
  <c r="AR4" i="187"/>
  <c r="AQ4" i="187"/>
  <c r="AP4" i="187"/>
  <c r="AN4" i="187"/>
  <c r="AJ4" i="187"/>
  <c r="D4" i="187"/>
  <c r="C4" i="187"/>
  <c r="A4" i="187" s="1"/>
  <c r="C1" i="187"/>
  <c r="E3" i="187" s="1"/>
  <c r="E3" i="70"/>
  <c r="E4" i="70"/>
  <c r="E5" i="70"/>
  <c r="E6" i="70"/>
  <c r="E7" i="70"/>
  <c r="E8" i="70"/>
  <c r="E9" i="70"/>
  <c r="E10" i="70"/>
  <c r="E11" i="70"/>
  <c r="E12" i="70"/>
  <c r="E13" i="70"/>
  <c r="E14" i="70"/>
  <c r="E15" i="70"/>
  <c r="E18" i="70"/>
  <c r="E19" i="70"/>
  <c r="E21" i="70"/>
  <c r="E23" i="70"/>
  <c r="E24" i="70"/>
  <c r="E25" i="70"/>
  <c r="E26" i="70"/>
  <c r="E27" i="70"/>
  <c r="E28" i="70"/>
  <c r="E29" i="70"/>
  <c r="E30" i="70"/>
  <c r="E2" i="70"/>
  <c r="AN28" i="187" l="1"/>
  <c r="AS28" i="187"/>
  <c r="AP28" i="187"/>
  <c r="AT28" i="187"/>
  <c r="AQ28" i="187"/>
  <c r="AJ28" i="187"/>
  <c r="AR28" i="187"/>
  <c r="E2" i="187"/>
  <c r="F3" i="187"/>
  <c r="G3" i="187" l="1"/>
  <c r="F2" i="187"/>
  <c r="H3" i="187" l="1"/>
  <c r="G2" i="187"/>
  <c r="I3" i="187" l="1"/>
  <c r="H2" i="187"/>
  <c r="J3" i="187" l="1"/>
  <c r="I2" i="187"/>
  <c r="K3" i="187" l="1"/>
  <c r="J2" i="187"/>
  <c r="L3" i="187" l="1"/>
  <c r="K2" i="187"/>
  <c r="M3" i="187" l="1"/>
  <c r="L2" i="187"/>
  <c r="N3" i="187" l="1"/>
  <c r="M2" i="187"/>
  <c r="O3" i="187" l="1"/>
  <c r="N2" i="187"/>
  <c r="P3" i="187" l="1"/>
  <c r="O2" i="187"/>
  <c r="Q3" i="187" l="1"/>
  <c r="P2" i="187"/>
  <c r="R3" i="187" l="1"/>
  <c r="Q2" i="187"/>
  <c r="S3" i="187" l="1"/>
  <c r="R2" i="187"/>
  <c r="T3" i="187" l="1"/>
  <c r="S2" i="187"/>
  <c r="U3" i="187" l="1"/>
  <c r="T2" i="187"/>
  <c r="V3" i="187" l="1"/>
  <c r="U2" i="187"/>
  <c r="W3" i="187" l="1"/>
  <c r="V2" i="187"/>
  <c r="X3" i="187" l="1"/>
  <c r="W2" i="187"/>
  <c r="Y3" i="187" l="1"/>
  <c r="X2" i="187"/>
  <c r="Z3" i="187" l="1"/>
  <c r="Y2" i="187"/>
  <c r="AA3" i="187" l="1"/>
  <c r="Z2" i="187"/>
  <c r="AB3" i="187" l="1"/>
  <c r="AA2" i="187"/>
  <c r="AC3" i="187" l="1"/>
  <c r="AB2" i="187"/>
  <c r="AD3" i="187" l="1"/>
  <c r="AC2" i="187"/>
  <c r="AE3" i="187" l="1"/>
  <c r="AD2" i="187"/>
  <c r="AF3" i="187" l="1"/>
  <c r="AE2" i="187"/>
  <c r="AG3" i="187" l="1"/>
  <c r="AK4" i="187" s="1" a="1"/>
  <c r="AK4" i="187" s="1"/>
  <c r="AI3" i="187"/>
  <c r="AH3" i="187"/>
  <c r="AH2" i="187" s="1"/>
  <c r="AF2" i="187"/>
  <c r="AM4" i="187" l="1"/>
  <c r="AK22" i="187" a="1"/>
  <c r="AK22" i="187" s="1"/>
  <c r="AM22" i="187" s="1"/>
  <c r="AK16" i="187" a="1"/>
  <c r="AK16" i="187" s="1"/>
  <c r="AM16" i="187" s="1"/>
  <c r="AK26" i="187" a="1"/>
  <c r="AK26" i="187" s="1"/>
  <c r="AM26" i="187" s="1"/>
  <c r="AK24" i="187" a="1"/>
  <c r="AK24" i="187" s="1"/>
  <c r="AM24" i="187" s="1"/>
  <c r="AK20" i="187" a="1"/>
  <c r="AK20" i="187" s="1"/>
  <c r="AM20" i="187" s="1"/>
  <c r="AK12" i="187" a="1"/>
  <c r="AK12" i="187" s="1"/>
  <c r="AM12" i="187" s="1"/>
  <c r="AK14" i="187" a="1"/>
  <c r="AK14" i="187" s="1"/>
  <c r="AM14" i="187" s="1"/>
  <c r="AK18" i="187" a="1"/>
  <c r="AK18" i="187" s="1"/>
  <c r="AM18" i="187" s="1"/>
  <c r="AK6" i="187" a="1"/>
  <c r="AK6" i="187" s="1"/>
  <c r="AM6" i="187" s="1"/>
  <c r="AK10" i="187" a="1"/>
  <c r="AK10" i="187" s="1"/>
  <c r="AM10" i="187" s="1"/>
  <c r="AK8" i="187" a="1"/>
  <c r="AK8" i="187" s="1"/>
  <c r="AM8" i="187" s="1"/>
  <c r="AG2" i="187"/>
  <c r="AI2" i="187"/>
  <c r="AO26" i="187" a="1"/>
  <c r="AO26" i="187" s="1"/>
  <c r="AL10" i="187" a="1"/>
  <c r="AL10" i="187" s="1"/>
  <c r="AL20" i="187" a="1"/>
  <c r="AL20" i="187" s="1"/>
  <c r="AL18" i="187" a="1"/>
  <c r="AL18" i="187" s="1"/>
  <c r="AO20" i="187" a="1"/>
  <c r="AO20" i="187" s="1"/>
  <c r="AL8" i="187" a="1"/>
  <c r="AL8" i="187" s="1"/>
  <c r="AL24" i="187" a="1"/>
  <c r="AL24" i="187" s="1"/>
  <c r="AL14" i="187" a="1"/>
  <c r="AL14" i="187" s="1"/>
  <c r="AO8" i="187" a="1"/>
  <c r="AO8" i="187" s="1"/>
  <c r="D1" i="187" a="1"/>
  <c r="D1" i="187" s="1"/>
  <c r="AL12" i="187" a="1"/>
  <c r="AL12" i="187" s="1"/>
  <c r="AO12" i="187" a="1"/>
  <c r="AO12" i="187" s="1"/>
  <c r="AO10" i="187" a="1"/>
  <c r="AO10" i="187" s="1"/>
  <c r="AO16" i="187" a="1"/>
  <c r="AO16" i="187" s="1"/>
  <c r="AO14" i="187" a="1"/>
  <c r="AO14" i="187" s="1"/>
  <c r="AL22" i="187" a="1"/>
  <c r="AL22" i="187" s="1"/>
  <c r="AL26" i="187" a="1"/>
  <c r="AL26" i="187" s="1"/>
  <c r="AO6" i="187" a="1"/>
  <c r="AO6" i="187" s="1"/>
  <c r="AO24" i="187" a="1"/>
  <c r="AO24" i="187" s="1"/>
  <c r="AO22" i="187" a="1"/>
  <c r="AO22" i="187" s="1"/>
  <c r="AO18" i="187" a="1"/>
  <c r="AO18" i="187" s="1"/>
  <c r="AL6" i="187" a="1"/>
  <c r="AL6" i="187" s="1"/>
  <c r="AL4" i="187" a="1"/>
  <c r="AL4" i="187" s="1"/>
  <c r="AL16" i="187" a="1"/>
  <c r="AL16" i="187" s="1"/>
  <c r="AO4" i="187" a="1"/>
  <c r="AO4" i="187" s="1"/>
  <c r="AK28" i="187" l="1"/>
  <c r="AO28" i="187"/>
  <c r="AM28" i="187" l="1"/>
  <c r="D39" i="1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K4" authorId="0" shapeId="0" xr:uid="{1089870A-AD44-4FBB-B0B7-431E51618CB8}">
      <text>
        <r>
          <rPr>
            <b/>
            <sz val="9"/>
            <color indexed="81"/>
            <rFont val="Tahoma"/>
            <charset val="1"/>
          </rPr>
          <t>Должно быть 189</t>
        </r>
      </text>
    </comment>
    <comment ref="AM4" authorId="0" shapeId="0" xr:uid="{E29043B9-3A80-4875-996C-A1A4A7309AE9}">
      <text>
        <r>
          <rPr>
            <b/>
            <sz val="9"/>
            <color indexed="81"/>
            <rFont val="Tahoma"/>
            <charset val="1"/>
          </rPr>
          <t>Должно быть 18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<sst xmlns="http://schemas.openxmlformats.org/spreadsheetml/2006/main" count="82" uniqueCount="51">
  <si>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</si>
  <si>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</si>
  <si>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</si>
  <si>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</si>
  <si>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</si>
  <si>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</si>
  <si>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</si>
  <si>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Должность</t>
  </si>
  <si>
    <t>Учебный отпуск</t>
  </si>
  <si>
    <t>Б</t>
  </si>
  <si>
    <t>Табельный №</t>
  </si>
  <si>
    <t>Профессия/разряд</t>
  </si>
  <si>
    <t>А</t>
  </si>
  <si>
    <t>Праздничные дни</t>
  </si>
  <si>
    <t>Дата</t>
  </si>
  <si>
    <t>Отпуск с разрешения администрации</t>
  </si>
  <si>
    <t>День Победы</t>
  </si>
  <si>
    <t>День России</t>
  </si>
  <si>
    <t>Фамилия И.О.</t>
  </si>
  <si>
    <t>Водитель 5 разряда</t>
  </si>
  <si>
    <t>Водитель 4 разряда</t>
  </si>
  <si>
    <t>в</t>
  </si>
  <si>
    <t>Новогодние каникулы</t>
  </si>
  <si>
    <t>Рождество Христово</t>
  </si>
  <si>
    <t>Международный женский день</t>
  </si>
  <si>
    <t>День защитника Отечества</t>
  </si>
  <si>
    <t>Перенос</t>
  </si>
  <si>
    <t>Праздник Весны и Труда</t>
  </si>
  <si>
    <t>День Республики</t>
  </si>
  <si>
    <t>День народного единства</t>
  </si>
  <si>
    <t>Короткий (предпраздничный) рабочий день</t>
  </si>
  <si>
    <t>Всего [дни]</t>
  </si>
  <si>
    <t xml:space="preserve"> Всего</t>
  </si>
  <si>
    <t xml:space="preserve"> Сверх урочные</t>
  </si>
  <si>
    <t xml:space="preserve"> Ночные</t>
  </si>
  <si>
    <t xml:space="preserve"> Выходные и 
 праздничные</t>
  </si>
  <si>
    <t xml:space="preserve"> Выходные</t>
  </si>
  <si>
    <t>Не отработано дни</t>
  </si>
  <si>
    <t>Отработано часы</t>
  </si>
  <si>
    <t xml:space="preserve"> Отпуск</t>
  </si>
  <si>
    <t xml:space="preserve"> С разрешения
 администрации</t>
  </si>
  <si>
    <t xml:space="preserve"> Больничный</t>
  </si>
  <si>
    <t xml:space="preserve"> Праздничные
 дни</t>
  </si>
  <si>
    <t>П</t>
  </si>
  <si>
    <t xml:space="preserve"> Прогул</t>
  </si>
  <si>
    <t>Рабочий день
(в выходной)</t>
  </si>
  <si>
    <t xml:space="preserve">Выходной день
(в рабочий день) </t>
  </si>
  <si>
    <t>Иванов И.И.</t>
  </si>
  <si>
    <t>Механик</t>
  </si>
  <si>
    <t>Петров П.П.</t>
  </si>
  <si>
    <t>Сидоров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</si>
</sst>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9]mmmm\ yyyy;@"/>
    <numFmt numFmtId="165" formatCode="ddd"/>
    <numFmt numFmtId="166" formatCode="d;;"/>
    <numFmt numFmtId="167" formatCode="0;;;@"/>
    <numFmt numFmtId="168" formatCode="dd/mm/yyyy\ \(ddd\)"/>
    <numFmt numFmtId="169" formatCode="General&quot; час.&quot;"/>
    <numFmt numFmtId="170" formatCode="mmmm"/>
    <numFmt numFmtId="171" formatCode="0;;;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1" fillId="0" borderId="2" xfId="0" applyFont="1" applyBorder="1"/>
    <xf numFmtId="0" fontId="1" fillId="0" borderId="4" xfId="0" applyFont="1" applyBorder="1"/>
    <xf numFmtId="0" fontId="0" fillId="0" borderId="2" xfId="0" applyBorder="1"/>
    <xf numFmtId="0" fontId="1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/>
      <protection hidden="1"/>
    </xf>
    <xf numFmtId="0" fontId="0" fillId="0" borderId="18" xfId="0" applyBorder="1"/>
    <xf numFmtId="168" fontId="0" fillId="0" borderId="18" xfId="0" applyNumberFormat="1" applyBorder="1"/>
    <xf numFmtId="168" fontId="0" fillId="0" borderId="18" xfId="0" applyNumberForma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6" fontId="13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22" xfId="0" applyBorder="1"/>
    <xf numFmtId="0" fontId="9" fillId="3" borderId="1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164" fontId="6" fillId="0" borderId="0" xfId="0" applyNumberFormat="1" applyFont="1" applyAlignment="1" applyProtection="1">
      <alignment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textRotation="90"/>
      <protection hidden="1"/>
    </xf>
    <xf numFmtId="0" fontId="13" fillId="0" borderId="5" xfId="0" applyFont="1" applyBorder="1" applyAlignment="1" applyProtection="1">
      <alignment horizontal="center" textRotation="90" wrapText="1"/>
      <protection hidden="1"/>
    </xf>
    <xf numFmtId="0" fontId="13" fillId="5" borderId="5" xfId="0" applyFont="1" applyFill="1" applyBorder="1" applyAlignment="1" applyProtection="1">
      <alignment horizontal="center" textRotation="90"/>
      <protection hidden="1"/>
    </xf>
    <xf numFmtId="0" fontId="0" fillId="0" borderId="27" xfId="0" applyBorder="1"/>
    <xf numFmtId="0" fontId="0" fillId="0" borderId="26" xfId="0" applyBorder="1"/>
    <xf numFmtId="170" fontId="0" fillId="0" borderId="0" xfId="0" applyNumberFormat="1" applyAlignment="1">
      <alignment horizontal="center" vertical="center"/>
    </xf>
    <xf numFmtId="167" fontId="0" fillId="0" borderId="0" xfId="0" applyNumberFormat="1"/>
    <xf numFmtId="171" fontId="13" fillId="0" borderId="1" xfId="0" applyNumberFormat="1" applyFont="1" applyBorder="1" applyAlignment="1" applyProtection="1">
      <alignment horizontal="center" vertical="center"/>
      <protection hidden="1"/>
    </xf>
    <xf numFmtId="171" fontId="13" fillId="5" borderId="1" xfId="0" applyNumberFormat="1" applyFont="1" applyFill="1" applyBorder="1" applyAlignment="1" applyProtection="1">
      <alignment horizontal="center" vertical="center"/>
      <protection hidden="1"/>
    </xf>
    <xf numFmtId="171" fontId="13" fillId="0" borderId="16" xfId="0" applyNumberFormat="1" applyFont="1" applyBorder="1" applyAlignment="1" applyProtection="1">
      <alignment horizontal="center" vertical="center"/>
      <protection hidden="1"/>
    </xf>
    <xf numFmtId="171" fontId="13" fillId="0" borderId="11" xfId="0" applyNumberFormat="1" applyFont="1" applyBorder="1" applyAlignment="1" applyProtection="1">
      <alignment horizontal="center" vertical="center"/>
      <protection hidden="1"/>
    </xf>
    <xf numFmtId="171" fontId="13" fillId="0" borderId="1" xfId="0" applyNumberFormat="1" applyFont="1" applyBorder="1" applyAlignment="1" applyProtection="1">
      <alignment horizontal="center" vertical="center"/>
      <protection hidden="1"/>
    </xf>
    <xf numFmtId="171" fontId="13" fillId="0" borderId="14" xfId="0" applyNumberFormat="1" applyFont="1" applyBorder="1" applyAlignment="1" applyProtection="1">
      <alignment horizontal="center" vertical="center"/>
      <protection hidden="1"/>
    </xf>
    <xf numFmtId="171" fontId="13" fillId="0" borderId="16" xfId="0" applyNumberFormat="1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2" borderId="11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171" fontId="13" fillId="8" borderId="11" xfId="0" applyNumberFormat="1" applyFont="1" applyFill="1" applyBorder="1" applyAlignment="1" applyProtection="1">
      <alignment horizontal="center" vertical="center"/>
      <protection hidden="1"/>
    </xf>
    <xf numFmtId="171" fontId="13" fillId="8" borderId="1" xfId="0" applyNumberFormat="1" applyFont="1" applyFill="1" applyBorder="1" applyAlignment="1" applyProtection="1">
      <alignment horizontal="center" vertical="center"/>
      <protection hidden="1"/>
    </xf>
    <xf numFmtId="171" fontId="13" fillId="0" borderId="23" xfId="0" applyNumberFormat="1" applyFont="1" applyBorder="1" applyAlignment="1" applyProtection="1">
      <alignment horizontal="center" vertical="center"/>
      <protection hidden="1"/>
    </xf>
    <xf numFmtId="171" fontId="13" fillId="5" borderId="11" xfId="0" applyNumberFormat="1" applyFont="1" applyFill="1" applyBorder="1" applyAlignment="1" applyProtection="1">
      <alignment horizontal="center" vertical="center"/>
      <protection hidden="1"/>
    </xf>
    <xf numFmtId="171" fontId="13" fillId="5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 textRotation="90" wrapText="1"/>
      <protection hidden="1"/>
    </xf>
    <xf numFmtId="0" fontId="13" fillId="0" borderId="25" xfId="0" applyFont="1" applyBorder="1" applyAlignment="1" applyProtection="1">
      <alignment horizontal="center" textRotation="90" wrapText="1"/>
      <protection hidden="1"/>
    </xf>
    <xf numFmtId="0" fontId="13" fillId="0" borderId="24" xfId="0" applyFont="1" applyBorder="1" applyAlignment="1" applyProtection="1">
      <alignment horizontal="center" textRotation="90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3" fillId="0" borderId="21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6"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>
          <stop position="0">
            <color theme="3" tint="0.59999389629810485"/>
          </stop>
          <stop position="0.5">
            <color theme="9" tint="0.59999389629810485"/>
          </stop>
          <stop position="1">
            <color theme="3" tint="0.59999389629810485"/>
          </stop>
        </gradientFill>
      </fill>
    </dxf>
    <dxf>
      <font>
        <color auto="1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auto="1"/>
      </font>
      <numFmt numFmtId="172" formatCode=";;;&quot;В&quot;"/>
      <fill>
        <patternFill>
          <bgColor theme="9" tint="0.59996337778862885"/>
        </patternFill>
      </fill>
    </dxf>
    <dxf>
      <font>
        <b/>
        <i val="0"/>
      </font>
      <numFmt numFmtId="173" formatCode=";;;&quot;ОГ&quot;"/>
    </dxf>
    <dxf>
      <font>
        <b/>
        <i val="0"/>
      </font>
      <numFmt numFmtId="174" formatCode=";;;&quot;У&quot;"/>
    </dxf>
    <dxf>
      <font>
        <b/>
        <i val="0"/>
      </font>
      <numFmt numFmtId="175" formatCode=";;;&quot;О&quot;"/>
    </dxf>
    <dxf>
      <font>
        <b/>
        <i val="0"/>
      </font>
      <numFmt numFmtId="176" formatCode=";;;&quot;Н&quot;"/>
    </dxf>
    <dxf>
      <font>
        <b/>
        <i val="0"/>
      </font>
      <numFmt numFmtId="177" formatCode=";;;&quot;К&quot;"/>
    </dxf>
    <dxf>
      <font>
        <b/>
        <i val="0"/>
      </font>
      <numFmt numFmtId="178" formatCode=";;;&quot;В/В&quot;"/>
    </dxf>
    <dxf>
      <font>
        <b/>
        <i val="0"/>
      </font>
      <numFmt numFmtId="179" formatCode=";;;&quot;А&quot;"/>
    </dxf>
    <dxf>
      <font>
        <b/>
        <i val="0"/>
      </font>
      <numFmt numFmtId="180" formatCode=";;;&quot;Б&quot;"/>
    </dxf>
    <dxf>
      <font>
        <b/>
        <i val="0"/>
      </font>
      <numFmt numFmtId="181" formatCode=";;;&quot;П&quot;"/>
    </dxf>
  </dxfs>
  <tableStyles count="0" defaultTableStyle="TableStyleMedium9" defaultPivotStyle="PivotStyleLight16"/>
  <colors>
    <mruColors>
      <color rgb="FF99FF99"/>
      <color rgb="FF99FF66"/>
      <color rgb="FFCCFF99"/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zoomScale="90" zoomScaleNormal="90" workbookViewId="0">
      <selection activeCell="E24" sqref="E24"/>
    </sheetView>
  </sheetViews>
  <sheetFormatPr defaultRowHeight="15" x14ac:dyDescent="0.25"/>
  <cols>
    <col min="1" max="1" width="11" bestFit="1" customWidth="1"/>
    <col min="2" max="2" width="28.140625" bestFit="1" customWidth="1"/>
    <col min="3" max="3" width="15.28515625" bestFit="1" customWidth="1"/>
    <col min="4" max="4" width="15" bestFit="1" customWidth="1"/>
    <col min="5" max="5" width="15.28515625" bestFit="1" customWidth="1"/>
    <col min="6" max="6" width="16.28515625" bestFit="1" customWidth="1"/>
    <col min="7" max="7" width="2.7109375" customWidth="1"/>
    <col min="8" max="8" width="8.140625" customWidth="1"/>
    <col min="9" max="9" width="15.85546875" bestFit="1" customWidth="1"/>
    <col min="10" max="12" width="31.28515625" bestFit="1" customWidth="1"/>
  </cols>
  <sheetData>
    <row r="1" spans="1:12" ht="60.75" thickBot="1" x14ac:dyDescent="0.3">
      <c r="A1" s="30">
        <v>2024</v>
      </c>
      <c r="B1" s="33" t="s">
        <v>13</v>
      </c>
      <c r="C1" s="33" t="s">
        <v>14</v>
      </c>
      <c r="D1" s="33" t="s">
        <v>45</v>
      </c>
      <c r="E1" s="34" t="s">
        <v>30</v>
      </c>
      <c r="F1" s="34" t="s">
        <v>46</v>
      </c>
      <c r="H1" s="32" t="s">
        <v>10</v>
      </c>
      <c r="I1" s="32" t="s">
        <v>18</v>
      </c>
      <c r="J1" s="32" t="s">
        <v>11</v>
      </c>
      <c r="K1" s="32" t="s">
        <v>11</v>
      </c>
      <c r="L1" s="32" t="s">
        <v>11</v>
      </c>
    </row>
    <row r="2" spans="1:12" x14ac:dyDescent="0.25">
      <c r="A2" s="42">
        <f>DATE($A$1,MONTH(1),DAY(1))</f>
        <v>45292</v>
      </c>
      <c r="B2" s="25" t="s">
        <v>22</v>
      </c>
      <c r="C2" s="27">
        <v>45292</v>
      </c>
      <c r="D2" s="27"/>
      <c r="E2" s="26" t="str">
        <f>IF((WEEKDAY(C2)&gt;2)*(MONTH(C2)&lt;&gt;1),C2-1,"")</f>
        <v/>
      </c>
      <c r="F2" s="27"/>
      <c r="H2" s="31">
        <v>61</v>
      </c>
      <c r="I2" s="31" t="s">
        <v>47</v>
      </c>
      <c r="J2" s="31" t="s">
        <v>48</v>
      </c>
      <c r="K2" s="31"/>
      <c r="L2" s="31"/>
    </row>
    <row r="3" spans="1:12" x14ac:dyDescent="0.25">
      <c r="A3" s="42">
        <f>DATE($A$1,MONTH(1)+ROW(A1),DAY(1))</f>
        <v>45323</v>
      </c>
      <c r="B3" s="25" t="s">
        <v>22</v>
      </c>
      <c r="C3" s="27">
        <v>45293</v>
      </c>
      <c r="D3" s="27"/>
      <c r="E3" s="26" t="str">
        <f t="shared" ref="E3:E30" si="0">IF((WEEKDAY(C3)&gt;2)*(MONTH(C3)&lt;&gt;1),C3-1,"")</f>
        <v/>
      </c>
      <c r="F3" s="27"/>
      <c r="H3" s="25">
        <v>84</v>
      </c>
      <c r="I3" s="25" t="s">
        <v>49</v>
      </c>
      <c r="J3" s="25" t="s">
        <v>20</v>
      </c>
      <c r="K3" s="25"/>
      <c r="L3" s="25"/>
    </row>
    <row r="4" spans="1:12" x14ac:dyDescent="0.25">
      <c r="A4" s="42">
        <f t="shared" ref="A4:A13" si="1">DATE($A$1,MONTH(1)+ROW(A2),DAY(1))</f>
        <v>45352</v>
      </c>
      <c r="B4" s="25" t="s">
        <v>22</v>
      </c>
      <c r="C4" s="27">
        <v>45294</v>
      </c>
      <c r="D4" s="27"/>
      <c r="E4" s="26" t="str">
        <f t="shared" si="0"/>
        <v/>
      </c>
      <c r="F4" s="27"/>
      <c r="H4" s="25">
        <v>85</v>
      </c>
      <c r="I4" s="25" t="s">
        <v>50</v>
      </c>
      <c r="J4" s="25" t="s">
        <v>19</v>
      </c>
      <c r="K4" s="25"/>
      <c r="L4" s="25"/>
    </row>
    <row r="5" spans="1:12" x14ac:dyDescent="0.25">
      <c r="A5" s="42">
        <f t="shared" si="1"/>
        <v>45383</v>
      </c>
      <c r="B5" s="25" t="s">
        <v>22</v>
      </c>
      <c r="C5" s="27">
        <v>45295</v>
      </c>
      <c r="D5" s="27"/>
      <c r="E5" s="26" t="str">
        <f t="shared" si="0"/>
        <v/>
      </c>
      <c r="F5" s="27"/>
      <c r="H5" s="25"/>
      <c r="I5" s="25"/>
      <c r="J5" s="25"/>
      <c r="K5" s="25"/>
      <c r="L5" s="25"/>
    </row>
    <row r="6" spans="1:12" x14ac:dyDescent="0.25">
      <c r="A6" s="42">
        <f t="shared" si="1"/>
        <v>45413</v>
      </c>
      <c r="B6" s="25" t="s">
        <v>22</v>
      </c>
      <c r="C6" s="27">
        <v>45296</v>
      </c>
      <c r="D6" s="27"/>
      <c r="E6" s="26" t="str">
        <f t="shared" si="0"/>
        <v/>
      </c>
      <c r="F6" s="27"/>
      <c r="H6" s="25"/>
      <c r="I6" s="25"/>
      <c r="J6" s="25"/>
      <c r="K6" s="25"/>
      <c r="L6" s="25"/>
    </row>
    <row r="7" spans="1:12" x14ac:dyDescent="0.25">
      <c r="A7" s="42">
        <f t="shared" si="1"/>
        <v>45444</v>
      </c>
      <c r="B7" s="25" t="s">
        <v>22</v>
      </c>
      <c r="C7" s="27">
        <v>45297</v>
      </c>
      <c r="D7" s="27"/>
      <c r="E7" s="26" t="str">
        <f t="shared" si="0"/>
        <v/>
      </c>
      <c r="F7" s="27"/>
      <c r="H7" s="25"/>
      <c r="I7" s="25"/>
      <c r="J7" s="25"/>
      <c r="K7" s="25"/>
      <c r="L7" s="25"/>
    </row>
    <row r="8" spans="1:12" x14ac:dyDescent="0.25">
      <c r="A8" s="42">
        <f t="shared" si="1"/>
        <v>45474</v>
      </c>
      <c r="B8" s="25" t="s">
        <v>23</v>
      </c>
      <c r="C8" s="27">
        <v>45298</v>
      </c>
      <c r="D8" s="27"/>
      <c r="E8" s="26" t="str">
        <f t="shared" si="0"/>
        <v/>
      </c>
      <c r="F8" s="27"/>
      <c r="H8" s="25"/>
      <c r="I8" s="25"/>
      <c r="J8" s="25"/>
      <c r="K8" s="25"/>
      <c r="L8" s="25"/>
    </row>
    <row r="9" spans="1:12" x14ac:dyDescent="0.25">
      <c r="A9" s="42">
        <f t="shared" si="1"/>
        <v>45505</v>
      </c>
      <c r="B9" s="25" t="s">
        <v>22</v>
      </c>
      <c r="C9" s="27">
        <v>45299</v>
      </c>
      <c r="D9" s="27"/>
      <c r="E9" s="26" t="str">
        <f t="shared" si="0"/>
        <v/>
      </c>
      <c r="F9" s="27"/>
      <c r="H9" s="25"/>
      <c r="I9" s="25"/>
      <c r="J9" s="25"/>
      <c r="K9" s="25"/>
      <c r="L9" s="25"/>
    </row>
    <row r="10" spans="1:12" x14ac:dyDescent="0.25">
      <c r="A10" s="42">
        <f t="shared" si="1"/>
        <v>45536</v>
      </c>
      <c r="B10" s="25"/>
      <c r="C10" s="27"/>
      <c r="D10" s="27"/>
      <c r="E10" s="26" t="str">
        <f t="shared" si="0"/>
        <v/>
      </c>
      <c r="F10" s="27"/>
      <c r="H10" s="25"/>
      <c r="I10" s="25"/>
      <c r="J10" s="25"/>
      <c r="K10" s="25"/>
      <c r="L10" s="25"/>
    </row>
    <row r="11" spans="1:12" x14ac:dyDescent="0.25">
      <c r="A11" s="42">
        <f t="shared" si="1"/>
        <v>45566</v>
      </c>
      <c r="B11" s="25" t="s">
        <v>24</v>
      </c>
      <c r="C11" s="27">
        <v>45345</v>
      </c>
      <c r="D11" s="27"/>
      <c r="E11" s="26">
        <f t="shared" si="0"/>
        <v>45344</v>
      </c>
      <c r="F11" s="27"/>
      <c r="H11" s="40"/>
      <c r="I11" s="40"/>
      <c r="J11" s="40"/>
      <c r="K11" s="40"/>
      <c r="L11" s="40"/>
    </row>
    <row r="12" spans="1:12" x14ac:dyDescent="0.25">
      <c r="A12" s="42">
        <f t="shared" si="1"/>
        <v>45597</v>
      </c>
      <c r="B12" s="25"/>
      <c r="C12" s="27"/>
      <c r="D12" s="27"/>
      <c r="E12" s="26" t="str">
        <f t="shared" si="0"/>
        <v/>
      </c>
      <c r="F12" s="27"/>
      <c r="H12" s="40"/>
      <c r="I12" s="40"/>
      <c r="J12" s="40"/>
      <c r="K12" s="40"/>
      <c r="L12" s="40"/>
    </row>
    <row r="13" spans="1:12" x14ac:dyDescent="0.25">
      <c r="A13" s="42">
        <f t="shared" si="1"/>
        <v>45627</v>
      </c>
      <c r="B13" s="25" t="s">
        <v>25</v>
      </c>
      <c r="C13" s="27">
        <v>45359</v>
      </c>
      <c r="D13" s="27"/>
      <c r="E13" s="26">
        <f t="shared" si="0"/>
        <v>45358</v>
      </c>
      <c r="F13" s="27"/>
      <c r="H13" s="40"/>
      <c r="I13" s="40"/>
      <c r="J13" s="40"/>
      <c r="K13" s="40"/>
      <c r="L13" s="40"/>
    </row>
    <row r="14" spans="1:12" x14ac:dyDescent="0.25">
      <c r="B14" s="25" t="s">
        <v>26</v>
      </c>
      <c r="C14" s="27"/>
      <c r="D14" s="27">
        <v>45409</v>
      </c>
      <c r="E14" s="26" t="str">
        <f t="shared" si="0"/>
        <v/>
      </c>
      <c r="F14" s="27">
        <v>45411</v>
      </c>
      <c r="H14" s="25"/>
      <c r="I14" s="25"/>
      <c r="J14" s="25"/>
      <c r="K14" s="25"/>
      <c r="L14" s="25"/>
    </row>
    <row r="15" spans="1:12" ht="15.75" thickBot="1" x14ac:dyDescent="0.3">
      <c r="B15" s="25" t="s">
        <v>26</v>
      </c>
      <c r="C15" s="27"/>
      <c r="D15" s="27"/>
      <c r="E15" s="26" t="str">
        <f t="shared" si="0"/>
        <v/>
      </c>
      <c r="F15" s="27">
        <v>45412</v>
      </c>
      <c r="H15" s="41"/>
      <c r="I15" s="41"/>
      <c r="J15" s="41"/>
      <c r="K15" s="41"/>
      <c r="L15" s="41"/>
    </row>
    <row r="16" spans="1:12" ht="15.75" thickTop="1" x14ac:dyDescent="0.25">
      <c r="B16" s="25" t="s">
        <v>27</v>
      </c>
      <c r="C16" s="27">
        <v>45413</v>
      </c>
      <c r="D16" s="27"/>
      <c r="E16" s="26"/>
      <c r="F16" s="27"/>
      <c r="H16" s="25"/>
      <c r="I16" s="25"/>
      <c r="J16" s="25"/>
      <c r="K16" s="25"/>
      <c r="L16" s="25"/>
    </row>
    <row r="17" spans="2:12" x14ac:dyDescent="0.25">
      <c r="B17" s="25" t="s">
        <v>26</v>
      </c>
      <c r="C17" s="27"/>
      <c r="D17" s="27"/>
      <c r="E17" s="26"/>
      <c r="F17" s="27"/>
      <c r="H17" s="40"/>
      <c r="I17" s="40"/>
      <c r="J17" s="40"/>
      <c r="K17" s="40"/>
      <c r="L17" s="40"/>
    </row>
    <row r="18" spans="2:12" x14ac:dyDescent="0.25">
      <c r="B18" s="25" t="s">
        <v>26</v>
      </c>
      <c r="C18" s="27"/>
      <c r="D18" s="27"/>
      <c r="E18" s="26" t="str">
        <f t="shared" si="0"/>
        <v/>
      </c>
      <c r="F18" s="27"/>
      <c r="H18" s="25"/>
      <c r="I18" s="25"/>
      <c r="J18" s="25"/>
      <c r="K18" s="25"/>
      <c r="L18" s="25"/>
    </row>
    <row r="19" spans="2:12" x14ac:dyDescent="0.25">
      <c r="B19" s="25" t="s">
        <v>16</v>
      </c>
      <c r="C19" s="27">
        <v>45421</v>
      </c>
      <c r="D19" s="27"/>
      <c r="E19" s="26">
        <f t="shared" si="0"/>
        <v>45420</v>
      </c>
      <c r="F19" s="27"/>
      <c r="H19" s="25"/>
      <c r="I19" s="25"/>
      <c r="J19" s="25"/>
      <c r="K19" s="25"/>
      <c r="L19" s="25"/>
    </row>
    <row r="20" spans="2:12" x14ac:dyDescent="0.25">
      <c r="B20" s="25" t="s">
        <v>17</v>
      </c>
      <c r="C20" s="27">
        <v>45422</v>
      </c>
      <c r="D20" s="27"/>
      <c r="E20" s="26"/>
      <c r="F20" s="27"/>
      <c r="H20" s="25"/>
      <c r="I20" s="25"/>
      <c r="J20" s="25"/>
      <c r="K20" s="25"/>
      <c r="L20" s="25"/>
    </row>
    <row r="21" spans="2:12" x14ac:dyDescent="0.25">
      <c r="B21" s="25" t="s">
        <v>28</v>
      </c>
      <c r="C21" s="27"/>
      <c r="D21" s="27"/>
      <c r="E21" s="26" t="str">
        <f t="shared" si="0"/>
        <v/>
      </c>
      <c r="F21" s="27"/>
      <c r="H21" s="25"/>
      <c r="I21" s="25"/>
      <c r="J21" s="25"/>
      <c r="K21" s="25"/>
      <c r="L21" s="25"/>
    </row>
    <row r="22" spans="2:12" x14ac:dyDescent="0.25">
      <c r="B22" s="25"/>
      <c r="C22" s="27"/>
      <c r="D22" s="27"/>
      <c r="E22" s="26" t="str">
        <f t="shared" si="0"/>
        <v/>
      </c>
      <c r="F22" s="27"/>
      <c r="H22" s="25"/>
      <c r="I22" s="25"/>
      <c r="J22" s="25"/>
      <c r="K22" s="25"/>
      <c r="L22" s="25"/>
    </row>
    <row r="23" spans="2:12" x14ac:dyDescent="0.25">
      <c r="B23" s="25" t="s">
        <v>29</v>
      </c>
      <c r="C23" s="27">
        <v>45467</v>
      </c>
      <c r="D23" s="27"/>
      <c r="E23" s="26" t="str">
        <f t="shared" si="0"/>
        <v/>
      </c>
      <c r="F23" s="27"/>
      <c r="H23" s="25"/>
      <c r="I23" s="25"/>
      <c r="J23" s="25"/>
      <c r="K23" s="25"/>
      <c r="L23" s="25"/>
    </row>
    <row r="24" spans="2:12" x14ac:dyDescent="0.25">
      <c r="B24" s="25"/>
      <c r="C24" s="27"/>
      <c r="D24" s="27"/>
      <c r="E24" s="26" t="str">
        <f t="shared" si="0"/>
        <v/>
      </c>
      <c r="F24" s="27"/>
      <c r="H24" s="25"/>
      <c r="I24" s="25"/>
      <c r="J24" s="25"/>
      <c r="K24" s="25"/>
      <c r="L24" s="25"/>
    </row>
    <row r="25" spans="2:12" x14ac:dyDescent="0.25">
      <c r="B25" s="25"/>
      <c r="C25" s="27"/>
      <c r="D25" s="27"/>
      <c r="E25" s="26" t="str">
        <f t="shared" si="0"/>
        <v/>
      </c>
      <c r="F25" s="27"/>
      <c r="H25" s="25"/>
      <c r="I25" s="25"/>
      <c r="J25" s="25"/>
      <c r="K25" s="25"/>
      <c r="L25" s="25"/>
    </row>
    <row r="26" spans="2:12" x14ac:dyDescent="0.25">
      <c r="B26" s="25"/>
      <c r="C26" s="27">
        <v>45600</v>
      </c>
      <c r="D26" s="27">
        <v>45598</v>
      </c>
      <c r="E26" s="26" t="str">
        <f t="shared" si="0"/>
        <v/>
      </c>
      <c r="F26" s="27"/>
      <c r="H26" s="25"/>
      <c r="I26" s="25"/>
      <c r="J26" s="25"/>
      <c r="K26" s="25"/>
      <c r="L26" s="25"/>
    </row>
    <row r="27" spans="2:12" x14ac:dyDescent="0.25">
      <c r="B27" s="25"/>
      <c r="C27" s="27"/>
      <c r="D27" s="27"/>
      <c r="E27" s="26" t="str">
        <f t="shared" si="0"/>
        <v/>
      </c>
      <c r="F27" s="27"/>
      <c r="H27" s="25"/>
      <c r="I27" s="25"/>
      <c r="J27" s="25"/>
      <c r="K27" s="25"/>
      <c r="L27" s="25"/>
    </row>
    <row r="28" spans="2:12" x14ac:dyDescent="0.25">
      <c r="B28" s="25" t="s">
        <v>26</v>
      </c>
      <c r="C28" s="27"/>
      <c r="D28" s="27">
        <v>45654</v>
      </c>
      <c r="E28" s="26" t="str">
        <f t="shared" si="0"/>
        <v/>
      </c>
      <c r="F28" s="27"/>
      <c r="H28" s="25"/>
      <c r="I28" s="25"/>
      <c r="J28" s="25"/>
      <c r="K28" s="25"/>
      <c r="L28" s="25"/>
    </row>
    <row r="29" spans="2:12" x14ac:dyDescent="0.25">
      <c r="B29" s="25" t="s">
        <v>22</v>
      </c>
      <c r="C29" s="27">
        <v>45656</v>
      </c>
      <c r="D29" s="27"/>
      <c r="E29" s="26" t="str">
        <f t="shared" si="0"/>
        <v/>
      </c>
      <c r="F29" s="27"/>
      <c r="H29" s="25"/>
      <c r="I29" s="25"/>
      <c r="J29" s="25"/>
      <c r="K29" s="25"/>
      <c r="L29" s="25"/>
    </row>
    <row r="30" spans="2:12" x14ac:dyDescent="0.25">
      <c r="B30" s="25" t="s">
        <v>22</v>
      </c>
      <c r="C30" s="27">
        <v>45657</v>
      </c>
      <c r="D30" s="27"/>
      <c r="E30" s="26">
        <f t="shared" si="0"/>
        <v>45656</v>
      </c>
      <c r="F30" s="27"/>
      <c r="H30" s="25"/>
      <c r="I30" s="25"/>
      <c r="J30" s="25"/>
      <c r="K30" s="25"/>
      <c r="L30" s="25"/>
    </row>
  </sheetData>
  <dataValidations count="1">
    <dataValidation type="list" allowBlank="1" showInputMessage="1" showErrorMessage="1" sqref="A1" xr:uid="{00000000-0002-0000-0000-000000000000}">
      <formula1>"2024,2025,2026,2027,2028"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0FA9-4C96-4C12-96A4-2B23EF117456}">
  <sheetPr>
    <pageSetUpPr fitToPage="1"/>
  </sheetPr>
  <dimension ref="A1:AT39"/>
  <sheetViews>
    <sheetView tabSelected="1" zoomScale="70" zoomScaleNormal="70" workbookViewId="0">
      <selection activeCell="AK6" sqref="AK6:AK7"/>
    </sheetView>
  </sheetViews>
  <sheetFormatPr defaultRowHeight="15" x14ac:dyDescent="0.25"/>
  <cols>
    <col min="1" max="1" width="6.140625" customWidth="1"/>
    <col min="2" max="2" width="7.28515625" customWidth="1"/>
    <col min="3" max="3" width="26.7109375" customWidth="1"/>
    <col min="4" max="4" width="24.5703125" customWidth="1"/>
    <col min="5" max="34" width="5.28515625" customWidth="1"/>
    <col min="35" max="35" width="5.28515625" hidden="1" customWidth="1"/>
    <col min="36" max="37" width="7.85546875" customWidth="1"/>
    <col min="38" max="38" width="7.85546875" hidden="1" customWidth="1"/>
    <col min="39" max="46" width="7.85546875" customWidth="1"/>
  </cols>
  <sheetData>
    <row r="1" spans="1:46" s="1" customFormat="1" ht="32.25" customHeight="1" thickBot="1" x14ac:dyDescent="0.35">
      <c r="C1" s="19">
        <f ca="1">--("1."&amp;MID(CELL("имяфайла",A1),FIND("]",CELL("имяфайла",A1))+1,20)&amp;DATA!A1)</f>
        <v>45383</v>
      </c>
      <c r="D1" s="36" cm="1">
        <f t="array" aca="1" ref="D1" ca="1">(COUNT(E3:AI3)-SUMPRODUCT(((WEEKDAY(E3:AI3,2)&gt;5)+ISNUMBER(MATCH(E3:AI3,DATA!C2:C30,))+ISNUMBER(MATCH(E3:AI3,DATA!F2:F30,))&gt;0)-ISNUMBER(MATCH(E3:AI3,DATA!D2:D30,))))*8-SUMPRODUCT(--ISNUMBER(MATCH(E3:AI3,DATA!E2:E30,)))</f>
        <v>168</v>
      </c>
      <c r="E1" s="35"/>
      <c r="F1" s="35"/>
      <c r="G1" s="35"/>
      <c r="H1" s="35"/>
      <c r="I1" s="35"/>
      <c r="J1" s="2"/>
      <c r="K1" s="3"/>
      <c r="L1" s="2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6" s="1" customFormat="1" ht="27" customHeight="1" thickBot="1" x14ac:dyDescent="0.35">
      <c r="A2" s="65" t="s">
        <v>2</v>
      </c>
      <c r="B2" s="65" t="s">
        <v>10</v>
      </c>
      <c r="C2" s="51" t="s">
        <v>18</v>
      </c>
      <c r="D2" s="51" t="s">
        <v>7</v>
      </c>
      <c r="E2" s="28">
        <f t="shared" ref="E2:AF2" ca="1" si="0">E3</f>
        <v>45383</v>
      </c>
      <c r="F2" s="28">
        <f t="shared" ca="1" si="0"/>
        <v>45384</v>
      </c>
      <c r="G2" s="28">
        <f t="shared" ca="1" si="0"/>
        <v>45385</v>
      </c>
      <c r="H2" s="28">
        <f t="shared" ca="1" si="0"/>
        <v>45386</v>
      </c>
      <c r="I2" s="28">
        <f t="shared" ca="1" si="0"/>
        <v>45387</v>
      </c>
      <c r="J2" s="28">
        <f t="shared" ca="1" si="0"/>
        <v>45388</v>
      </c>
      <c r="K2" s="28">
        <f t="shared" ca="1" si="0"/>
        <v>45389</v>
      </c>
      <c r="L2" s="28">
        <f t="shared" ca="1" si="0"/>
        <v>45390</v>
      </c>
      <c r="M2" s="28">
        <f t="shared" ca="1" si="0"/>
        <v>45391</v>
      </c>
      <c r="N2" s="28">
        <f t="shared" ca="1" si="0"/>
        <v>45392</v>
      </c>
      <c r="O2" s="28">
        <f t="shared" ca="1" si="0"/>
        <v>45393</v>
      </c>
      <c r="P2" s="28">
        <f t="shared" ca="1" si="0"/>
        <v>45394</v>
      </c>
      <c r="Q2" s="28">
        <f t="shared" ca="1" si="0"/>
        <v>45395</v>
      </c>
      <c r="R2" s="28">
        <f t="shared" ca="1" si="0"/>
        <v>45396</v>
      </c>
      <c r="S2" s="28">
        <f t="shared" ca="1" si="0"/>
        <v>45397</v>
      </c>
      <c r="T2" s="28">
        <f t="shared" ca="1" si="0"/>
        <v>45398</v>
      </c>
      <c r="U2" s="28">
        <f t="shared" ca="1" si="0"/>
        <v>45399</v>
      </c>
      <c r="V2" s="28">
        <f t="shared" ca="1" si="0"/>
        <v>45400</v>
      </c>
      <c r="W2" s="28">
        <f t="shared" ca="1" si="0"/>
        <v>45401</v>
      </c>
      <c r="X2" s="28">
        <f t="shared" ca="1" si="0"/>
        <v>45402</v>
      </c>
      <c r="Y2" s="28">
        <f t="shared" ca="1" si="0"/>
        <v>45403</v>
      </c>
      <c r="Z2" s="28">
        <f t="shared" ca="1" si="0"/>
        <v>45404</v>
      </c>
      <c r="AA2" s="28">
        <f t="shared" ca="1" si="0"/>
        <v>45405</v>
      </c>
      <c r="AB2" s="28">
        <f t="shared" ca="1" si="0"/>
        <v>45406</v>
      </c>
      <c r="AC2" s="28">
        <f t="shared" ca="1" si="0"/>
        <v>45407</v>
      </c>
      <c r="AD2" s="28">
        <f t="shared" ca="1" si="0"/>
        <v>45408</v>
      </c>
      <c r="AE2" s="28">
        <f t="shared" ca="1" si="0"/>
        <v>45409</v>
      </c>
      <c r="AF2" s="28">
        <f t="shared" ca="1" si="0"/>
        <v>45410</v>
      </c>
      <c r="AG2" s="28">
        <f ca="1">IF(AG3=0,"",AG3)</f>
        <v>45411</v>
      </c>
      <c r="AH2" s="28">
        <f ca="1">IF(AH3=0,"",AH3)</f>
        <v>45412</v>
      </c>
      <c r="AI2" s="28" t="str">
        <f ca="1">IF(AI3=0,"",AI3)</f>
        <v/>
      </c>
      <c r="AJ2" s="66" t="s">
        <v>31</v>
      </c>
      <c r="AK2" s="68" t="s">
        <v>38</v>
      </c>
      <c r="AL2" s="69"/>
      <c r="AM2" s="69"/>
      <c r="AN2" s="69"/>
      <c r="AO2" s="70"/>
      <c r="AP2" s="51" t="s">
        <v>37</v>
      </c>
      <c r="AQ2" s="51"/>
      <c r="AR2" s="51"/>
      <c r="AS2" s="51"/>
      <c r="AT2" s="51"/>
    </row>
    <row r="3" spans="1:46" s="5" customFormat="1" ht="119.25" thickBot="1" x14ac:dyDescent="0.3">
      <c r="A3" s="65"/>
      <c r="B3" s="65"/>
      <c r="C3" s="51"/>
      <c r="D3" s="51"/>
      <c r="E3" s="29">
        <f ca="1">C1</f>
        <v>45383</v>
      </c>
      <c r="F3" s="29">
        <f t="shared" ref="F3:AF3" ca="1" si="1">E3+1</f>
        <v>45384</v>
      </c>
      <c r="G3" s="29">
        <f t="shared" ca="1" si="1"/>
        <v>45385</v>
      </c>
      <c r="H3" s="29">
        <f t="shared" ca="1" si="1"/>
        <v>45386</v>
      </c>
      <c r="I3" s="29">
        <f t="shared" ca="1" si="1"/>
        <v>45387</v>
      </c>
      <c r="J3" s="29">
        <f t="shared" ca="1" si="1"/>
        <v>45388</v>
      </c>
      <c r="K3" s="29">
        <f t="shared" ca="1" si="1"/>
        <v>45389</v>
      </c>
      <c r="L3" s="29">
        <f t="shared" ca="1" si="1"/>
        <v>45390</v>
      </c>
      <c r="M3" s="29">
        <f t="shared" ca="1" si="1"/>
        <v>45391</v>
      </c>
      <c r="N3" s="29">
        <f t="shared" ca="1" si="1"/>
        <v>45392</v>
      </c>
      <c r="O3" s="29">
        <f t="shared" ca="1" si="1"/>
        <v>45393</v>
      </c>
      <c r="P3" s="29">
        <f t="shared" ca="1" si="1"/>
        <v>45394</v>
      </c>
      <c r="Q3" s="29">
        <f t="shared" ca="1" si="1"/>
        <v>45395</v>
      </c>
      <c r="R3" s="29">
        <f t="shared" ca="1" si="1"/>
        <v>45396</v>
      </c>
      <c r="S3" s="29">
        <f t="shared" ca="1" si="1"/>
        <v>45397</v>
      </c>
      <c r="T3" s="29">
        <f t="shared" ca="1" si="1"/>
        <v>45398</v>
      </c>
      <c r="U3" s="29">
        <f t="shared" ca="1" si="1"/>
        <v>45399</v>
      </c>
      <c r="V3" s="29">
        <f t="shared" ca="1" si="1"/>
        <v>45400</v>
      </c>
      <c r="W3" s="29">
        <f t="shared" ca="1" si="1"/>
        <v>45401</v>
      </c>
      <c r="X3" s="29">
        <f t="shared" ca="1" si="1"/>
        <v>45402</v>
      </c>
      <c r="Y3" s="29">
        <f t="shared" ca="1" si="1"/>
        <v>45403</v>
      </c>
      <c r="Z3" s="29">
        <f t="shared" ca="1" si="1"/>
        <v>45404</v>
      </c>
      <c r="AA3" s="29">
        <f t="shared" ca="1" si="1"/>
        <v>45405</v>
      </c>
      <c r="AB3" s="29">
        <f t="shared" ca="1" si="1"/>
        <v>45406</v>
      </c>
      <c r="AC3" s="29">
        <f t="shared" ca="1" si="1"/>
        <v>45407</v>
      </c>
      <c r="AD3" s="29">
        <f t="shared" ca="1" si="1"/>
        <v>45408</v>
      </c>
      <c r="AE3" s="29">
        <f t="shared" ca="1" si="1"/>
        <v>45409</v>
      </c>
      <c r="AF3" s="29">
        <f t="shared" ca="1" si="1"/>
        <v>45410</v>
      </c>
      <c r="AG3" s="29">
        <f ca="1">IF(DAY($AF3+1)&gt;DAY(AF3),$AF3+1,0)</f>
        <v>45411</v>
      </c>
      <c r="AH3" s="29">
        <f ca="1">IF(DAY($AF3+2)&gt;DAY(AF3),$AF3+2,0)</f>
        <v>45412</v>
      </c>
      <c r="AI3" s="29">
        <f ca="1">IF(DAY($AF3+3)&gt;DAY(AF3),$AF3+3,0)</f>
        <v>0</v>
      </c>
      <c r="AJ3" s="67"/>
      <c r="AK3" s="38" t="s">
        <v>32</v>
      </c>
      <c r="AL3" s="38" t="s">
        <v>42</v>
      </c>
      <c r="AM3" s="37" t="s">
        <v>33</v>
      </c>
      <c r="AN3" s="39" t="s">
        <v>34</v>
      </c>
      <c r="AO3" s="38" t="s">
        <v>35</v>
      </c>
      <c r="AP3" s="37" t="s">
        <v>36</v>
      </c>
      <c r="AQ3" s="37" t="s">
        <v>39</v>
      </c>
      <c r="AR3" s="38" t="s">
        <v>40</v>
      </c>
      <c r="AS3" s="37" t="s">
        <v>44</v>
      </c>
      <c r="AT3" s="37" t="s">
        <v>41</v>
      </c>
    </row>
    <row r="4" spans="1:46" s="1" customFormat="1" ht="21" x14ac:dyDescent="0.3">
      <c r="A4" s="52">
        <f>IF(C4="","",SUBTOTAL(103,$B$4:B4))</f>
        <v>1</v>
      </c>
      <c r="B4" s="54">
        <v>61</v>
      </c>
      <c r="C4" s="56" t="str">
        <f>IFERROR(VLOOKUP(Апрель!B4,DATA!$H$2:$I$15,2,0),"")</f>
        <v>Иванов И.И.</v>
      </c>
      <c r="D4" s="58" t="str">
        <f>IFERROR(VLOOKUP(B4,DATA!$H$2:$L$15,3,0),"")</f>
        <v>Механик</v>
      </c>
      <c r="E4" s="20">
        <v>13</v>
      </c>
      <c r="F4" s="20">
        <v>14</v>
      </c>
      <c r="G4" s="20">
        <v>8</v>
      </c>
      <c r="H4" s="20">
        <v>8</v>
      </c>
      <c r="I4" s="20">
        <v>8</v>
      </c>
      <c r="J4" s="20">
        <v>2</v>
      </c>
      <c r="K4" s="20" t="s">
        <v>21</v>
      </c>
      <c r="L4" s="20">
        <v>8</v>
      </c>
      <c r="M4" s="20">
        <v>8</v>
      </c>
      <c r="N4" s="20">
        <v>11</v>
      </c>
      <c r="O4" s="20">
        <v>8</v>
      </c>
      <c r="P4" s="20">
        <v>9</v>
      </c>
      <c r="Q4" s="20">
        <v>2</v>
      </c>
      <c r="R4" s="20" t="s">
        <v>21</v>
      </c>
      <c r="S4" s="20">
        <v>8</v>
      </c>
      <c r="T4" s="20">
        <v>8</v>
      </c>
      <c r="U4" s="20">
        <v>8</v>
      </c>
      <c r="V4" s="20">
        <v>8</v>
      </c>
      <c r="W4" s="20">
        <v>11</v>
      </c>
      <c r="X4" s="20" t="s">
        <v>21</v>
      </c>
      <c r="Y4" s="20">
        <v>4</v>
      </c>
      <c r="Z4" s="20">
        <v>8</v>
      </c>
      <c r="AA4" s="20">
        <v>8</v>
      </c>
      <c r="AB4" s="20">
        <v>8</v>
      </c>
      <c r="AC4" s="20">
        <v>8</v>
      </c>
      <c r="AD4" s="20">
        <v>8</v>
      </c>
      <c r="AE4" s="20">
        <v>8</v>
      </c>
      <c r="AF4" s="20">
        <v>2</v>
      </c>
      <c r="AG4" s="20">
        <v>11</v>
      </c>
      <c r="AH4" s="20" t="s">
        <v>21</v>
      </c>
      <c r="AI4" s="21"/>
      <c r="AJ4" s="47">
        <f>COUNTIF($E4:$AI4,"&gt;0")</f>
        <v>26</v>
      </c>
      <c r="AK4" s="60" cm="1">
        <f t="array" aca="1" ref="AK4" ca="1">SUM(IF((COUNTIF(DATA!C$2:C$28,E$3:AI$3)+(WEEKDAY($E$3:$AI$3,2)&gt;5)),E4:AI4,TEXT(E4:AI4,"[&gt;8]8;;0;\0")-COUNTIFS(DATA!E$2:E$28,E$3:AI$3*(E4:AI4&gt;7),DATA!F$2:F$28,E$3:AI$3*ISNUMBER(E4:AI4))))</f>
        <v>186</v>
      </c>
      <c r="AL4" s="62">
        <f t="array" aca="1" ref="AL4" ca="1">SUM(IFERROR(((ISNUMBER(MATCH($E$3:$AI$3,DATA!$C$2:$C$98,))+ISNUMBER(MATCH($E$3:$AI$3,,)))&gt;0)*$E4:$AI5,))</f>
        <v>0</v>
      </c>
      <c r="AM4" s="48">
        <f ca="1">SUM(E4:AI4)-AK4</f>
        <v>21</v>
      </c>
      <c r="AN4" s="63">
        <f>SUM(E5:AI5)</f>
        <v>3</v>
      </c>
      <c r="AO4" s="47" cm="1">
        <f t="array" aca="1" ref="AO4" ca="1">SUM(IFERROR((((WEEKDAY($E$3:$AI$3,2)&gt;5)+ISNUMBER(MATCH($E$3:$AI$3,DATA!$C$2:$C$30,))+ISNUMBER(MATCH($E$3:$AI$3,DATA!$F$2:$F$30,))-(ISNUMBER(MATCH($E$3:$AI$3,DATA!$D$2:$D$30,))))&gt;0)*$E4:$AI4,))</f>
        <v>21</v>
      </c>
      <c r="AP4" s="47">
        <f>COUNTIF($E4:$AI4,"В")</f>
        <v>4</v>
      </c>
      <c r="AQ4" s="47">
        <f>COUNTIF($E4:$AI4,"О")</f>
        <v>0</v>
      </c>
      <c r="AR4" s="47">
        <f>COUNTIF($E4:$AI4,"А")</f>
        <v>0</v>
      </c>
      <c r="AS4" s="47">
        <f>COUNTIF($E4:$AI4,"П")</f>
        <v>0</v>
      </c>
      <c r="AT4" s="49">
        <f>COUNTIF($E4:$AI4,"Б")</f>
        <v>0</v>
      </c>
    </row>
    <row r="5" spans="1:46" s="1" customFormat="1" ht="21" x14ac:dyDescent="0.3">
      <c r="A5" s="53"/>
      <c r="B5" s="55"/>
      <c r="C5" s="57"/>
      <c r="D5" s="59"/>
      <c r="E5" s="22">
        <v>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>
        <v>2</v>
      </c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48"/>
      <c r="AK5" s="61"/>
      <c r="AL5" s="48"/>
      <c r="AM5" s="48"/>
      <c r="AN5" s="64"/>
      <c r="AO5" s="48"/>
      <c r="AP5" s="48"/>
      <c r="AQ5" s="48"/>
      <c r="AR5" s="48"/>
      <c r="AS5" s="48"/>
      <c r="AT5" s="50"/>
    </row>
    <row r="6" spans="1:46" s="1" customFormat="1" ht="21" customHeight="1" x14ac:dyDescent="0.3">
      <c r="A6" s="52">
        <f>IF(C6="","",SUBTOTAL(103,$B$4:B6))</f>
        <v>2</v>
      </c>
      <c r="B6" s="55">
        <v>84</v>
      </c>
      <c r="C6" s="56" t="str">
        <f>IFERROR(VLOOKUP(Апрель!B6,DATA!$H$2:$I$15,2,0),"")</f>
        <v>Петров П.П.</v>
      </c>
      <c r="D6" s="58" t="str">
        <f>IFERROR(VLOOKUP(B6,DATA!$H$2:$L$15,3,0),"")</f>
        <v>Водитель 4 разряда</v>
      </c>
      <c r="E6" s="20">
        <v>10</v>
      </c>
      <c r="F6" s="20">
        <v>8</v>
      </c>
      <c r="G6" s="20">
        <v>11</v>
      </c>
      <c r="H6" s="20">
        <v>12</v>
      </c>
      <c r="I6" s="20">
        <v>8</v>
      </c>
      <c r="J6" s="20">
        <v>4</v>
      </c>
      <c r="K6" s="20" t="s">
        <v>21</v>
      </c>
      <c r="L6" s="20">
        <v>8</v>
      </c>
      <c r="M6" s="20">
        <v>8</v>
      </c>
      <c r="N6" s="20">
        <v>8</v>
      </c>
      <c r="O6" s="20">
        <v>8</v>
      </c>
      <c r="P6" s="20">
        <v>9</v>
      </c>
      <c r="Q6" s="20">
        <v>7</v>
      </c>
      <c r="R6" s="20" t="s">
        <v>21</v>
      </c>
      <c r="S6" s="20">
        <v>8</v>
      </c>
      <c r="T6" s="20">
        <v>8</v>
      </c>
      <c r="U6" s="20">
        <v>8</v>
      </c>
      <c r="V6" s="20">
        <v>9</v>
      </c>
      <c r="W6" s="20">
        <v>8</v>
      </c>
      <c r="X6" s="20" t="s">
        <v>21</v>
      </c>
      <c r="Y6" s="20" t="s">
        <v>21</v>
      </c>
      <c r="Z6" s="20">
        <v>8</v>
      </c>
      <c r="AA6" s="20">
        <v>8</v>
      </c>
      <c r="AB6" s="20">
        <v>8</v>
      </c>
      <c r="AC6" s="20">
        <v>8</v>
      </c>
      <c r="AD6" s="20">
        <v>8</v>
      </c>
      <c r="AE6" s="20">
        <v>8</v>
      </c>
      <c r="AF6" s="20" t="s">
        <v>21</v>
      </c>
      <c r="AG6" s="20">
        <v>5</v>
      </c>
      <c r="AH6" s="20" t="s">
        <v>21</v>
      </c>
      <c r="AI6" s="21"/>
      <c r="AJ6" s="48">
        <f>COUNTIF($E6:$AI6,"&gt;0")</f>
        <v>24</v>
      </c>
      <c r="AK6" s="47" cm="1">
        <f t="array" aca="1" ref="AK6" ca="1">SUM(IF((COUNTIF(DATA!C$2:C$28,E$3:AI$3)+(WEEKDAY($E$3:$AI$3,2)&gt;5)),E6:AI6,TEXT(E6:AI6,"[&gt;8]8;;0;\0")-COUNTIFS(DATA!E$2:E$28,E$3:AI$3*(E6:AI6&gt;7),DATA!F$2:F$28,E$3:AI$3*ISNUMBER(E6:AI6))))</f>
        <v>184</v>
      </c>
      <c r="AL6" s="48">
        <f t="array" aca="1" ref="AL6" ca="1">SUM(IFERROR(((ISNUMBER(MATCH($E$3:$AI$3,DATA!$C$2:$C$98,))+ISNUMBER(MATCH($E$3:$AI$3,,)))&gt;0)*$E6:$AI7,))</f>
        <v>0</v>
      </c>
      <c r="AM6" s="48">
        <f ca="1">SUM(E6:AI6)-AK6</f>
        <v>11</v>
      </c>
      <c r="AN6" s="64">
        <f>SUM(E7:AI7)</f>
        <v>0</v>
      </c>
      <c r="AO6" s="47" cm="1">
        <f t="array" aca="1" ref="AO6" ca="1">SUM(IFERROR((((WEEKDAY($E$3:$AI$3,2)&gt;5)+ISNUMBER(MATCH($E$3:$AI$3,DATA!$C$2:$C$30,))+ISNUMBER(MATCH($E$3:$AI$3,DATA!$F$2:$F$30,))-(ISNUMBER(MATCH($E$3:$AI$3,DATA!$D$2:$D$30,))))&gt;0)*$E6:$AI6,))</f>
        <v>16</v>
      </c>
      <c r="AP6" s="48">
        <f>COUNTIF($E6:$AI6,"В")</f>
        <v>6</v>
      </c>
      <c r="AQ6" s="48">
        <f>COUNTIF($E6:$AI6,"О")</f>
        <v>0</v>
      </c>
      <c r="AR6" s="48">
        <f>COUNTIF($E6:$AI6,"А")</f>
        <v>0</v>
      </c>
      <c r="AS6" s="47">
        <f t="shared" ref="AS6" si="2">COUNTIF($E6:$AI6,"П")</f>
        <v>0</v>
      </c>
      <c r="AT6" s="50">
        <f>COUNTIF($E6:$AI6,"Б")</f>
        <v>0</v>
      </c>
    </row>
    <row r="7" spans="1:46" s="1" customFormat="1" ht="21" x14ac:dyDescent="0.3">
      <c r="A7" s="53"/>
      <c r="B7" s="55"/>
      <c r="C7" s="57"/>
      <c r="D7" s="59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3"/>
      <c r="AJ7" s="48"/>
      <c r="AK7" s="48"/>
      <c r="AL7" s="48"/>
      <c r="AM7" s="48"/>
      <c r="AN7" s="64"/>
      <c r="AO7" s="48"/>
      <c r="AP7" s="48"/>
      <c r="AQ7" s="48"/>
      <c r="AR7" s="48"/>
      <c r="AS7" s="48"/>
      <c r="AT7" s="50"/>
    </row>
    <row r="8" spans="1:46" s="1" customFormat="1" ht="21" customHeight="1" x14ac:dyDescent="0.3">
      <c r="A8" s="52">
        <f>IF(C8="","",SUBTOTAL(103,$B$4:B8))</f>
        <v>3</v>
      </c>
      <c r="B8" s="55">
        <v>85</v>
      </c>
      <c r="C8" s="56" t="str">
        <f>IFERROR(VLOOKUP(Апрель!B8,DATA!$H$2:$I$15,2,0),"")</f>
        <v>Сидоров С.С.</v>
      </c>
      <c r="D8" s="58" t="str">
        <f>IFERROR(VLOOKUP(B8,DATA!$H$2:$L$15,3,0),"")</f>
        <v>Водитель 5 разряда</v>
      </c>
      <c r="E8" s="20">
        <v>8</v>
      </c>
      <c r="F8" s="20">
        <v>8</v>
      </c>
      <c r="G8" s="20">
        <v>8</v>
      </c>
      <c r="H8" s="20">
        <v>8</v>
      </c>
      <c r="I8" s="20">
        <v>8</v>
      </c>
      <c r="J8" s="20" t="s">
        <v>21</v>
      </c>
      <c r="K8" s="20" t="s">
        <v>21</v>
      </c>
      <c r="L8" s="20">
        <v>8</v>
      </c>
      <c r="M8" s="20">
        <v>8</v>
      </c>
      <c r="N8" s="20">
        <v>8</v>
      </c>
      <c r="O8" s="20">
        <v>8</v>
      </c>
      <c r="P8" s="20">
        <v>8</v>
      </c>
      <c r="Q8" s="20" t="s">
        <v>21</v>
      </c>
      <c r="R8" s="20" t="s">
        <v>21</v>
      </c>
      <c r="S8" s="20">
        <v>8</v>
      </c>
      <c r="T8" s="20">
        <v>8</v>
      </c>
      <c r="U8" s="20">
        <v>8</v>
      </c>
      <c r="V8" s="20">
        <v>8</v>
      </c>
      <c r="W8" s="20">
        <v>8</v>
      </c>
      <c r="X8" s="20" t="s">
        <v>21</v>
      </c>
      <c r="Y8" s="20" t="s">
        <v>21</v>
      </c>
      <c r="Z8" s="20">
        <v>8</v>
      </c>
      <c r="AA8" s="20">
        <v>8</v>
      </c>
      <c r="AB8" s="20">
        <v>8</v>
      </c>
      <c r="AC8" s="20">
        <v>8</v>
      </c>
      <c r="AD8" s="20">
        <v>8</v>
      </c>
      <c r="AE8" s="20">
        <v>8</v>
      </c>
      <c r="AF8" s="20">
        <v>2</v>
      </c>
      <c r="AG8" s="20">
        <v>1</v>
      </c>
      <c r="AH8" s="20">
        <v>1</v>
      </c>
      <c r="AI8" s="21"/>
      <c r="AJ8" s="48">
        <f>COUNTIF($E8:$AI8,"&gt;0")</f>
        <v>24</v>
      </c>
      <c r="AK8" s="47" cm="1">
        <f t="array" aca="1" ref="AK8" ca="1">SUM(IF((COUNTIF(DATA!C$2:C$28,E$3:AI$3)+(WEEKDAY($E$3:$AI$3,2)&gt;5)),E8:AI8,TEXT(E8:AI8,"[&gt;8]8;;0;\0")-COUNTIFS(DATA!E$2:E$28,E$3:AI$3*(E8:AI8&gt;7),DATA!F$2:F$28,E$3:AI$3*ISNUMBER(E8:AI8))))</f>
        <v>172</v>
      </c>
      <c r="AL8" s="48">
        <f t="array" aca="1" ref="AL8" ca="1">SUM(IFERROR(((ISNUMBER(MATCH($E$3:$AI$3,DATA!$C$2:$C$98,))+ISNUMBER(MATCH($E$3:$AI$3,,)))&gt;0)*$E8:$AI9,))</f>
        <v>0</v>
      </c>
      <c r="AM8" s="48">
        <f ca="1">SUM(E8:AI8)-AK8</f>
        <v>0</v>
      </c>
      <c r="AN8" s="64">
        <f>SUM(E9:AI9)</f>
        <v>0</v>
      </c>
      <c r="AO8" s="47" cm="1">
        <f t="array" aca="1" ref="AO8" ca="1">SUM(IFERROR((((WEEKDAY($E$3:$AI$3,2)&gt;5)+ISNUMBER(MATCH($E$3:$AI$3,DATA!$C$2:$C$30,))+ISNUMBER(MATCH($E$3:$AI$3,DATA!$F$2:$F$30,))-(ISNUMBER(MATCH($E$3:$AI$3,DATA!$D$2:$D$30,))))&gt;0)*$E8:$AI8,))</f>
        <v>4</v>
      </c>
      <c r="AP8" s="48">
        <f>COUNTIF($E8:$AI8,"В")</f>
        <v>6</v>
      </c>
      <c r="AQ8" s="48">
        <f>COUNTIF($E8:$AI8,"О")</f>
        <v>0</v>
      </c>
      <c r="AR8" s="48">
        <f>COUNTIF($E8:$AI8,"А")</f>
        <v>0</v>
      </c>
      <c r="AS8" s="47">
        <f t="shared" ref="AS8" si="3">COUNTIF($E8:$AI8,"П")</f>
        <v>0</v>
      </c>
      <c r="AT8" s="50">
        <f>COUNTIF($E8:$AI8,"Б")</f>
        <v>0</v>
      </c>
    </row>
    <row r="9" spans="1:46" s="1" customFormat="1" ht="21" x14ac:dyDescent="0.3">
      <c r="A9" s="53"/>
      <c r="B9" s="55"/>
      <c r="C9" s="57"/>
      <c r="D9" s="59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48"/>
      <c r="AK9" s="48"/>
      <c r="AL9" s="48"/>
      <c r="AM9" s="48"/>
      <c r="AN9" s="64"/>
      <c r="AO9" s="48"/>
      <c r="AP9" s="48"/>
      <c r="AQ9" s="48"/>
      <c r="AR9" s="48"/>
      <c r="AS9" s="48"/>
      <c r="AT9" s="50"/>
    </row>
    <row r="10" spans="1:46" s="1" customFormat="1" ht="21" customHeight="1" x14ac:dyDescent="0.3">
      <c r="A10" s="52" t="str">
        <f>IF(C10="","",SUBTOTAL(103,$B$4:B10))</f>
        <v/>
      </c>
      <c r="B10" s="55"/>
      <c r="C10" s="56" t="str">
        <f>IFERROR(VLOOKUP(Апрель!B10,DATA!$H$2:$I$15,2,0),"")</f>
        <v/>
      </c>
      <c r="D10" s="58" t="str">
        <f>IFERROR(VLOOKUP(B10,DATA!$H$2:$L$15,3,0),"")</f>
        <v/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1"/>
      <c r="AJ10" s="48">
        <f>COUNTIF($E10:$AI10,"&gt;0")</f>
        <v>0</v>
      </c>
      <c r="AK10" s="47" cm="1">
        <f t="array" aca="1" ref="AK10" ca="1">SUM(IF((COUNTIF(DATA!C$2:C$28,E$3:AI$3)+(WEEKDAY($E$3:$AI$3,2)&gt;5)),E10:AI10,TEXT(E10:AI10,"[&gt;8]8;;0;\0")-COUNTIFS(DATA!E$2:E$28,E$3:AI$3*(E10:AI10&gt;7),DATA!F$2:F$28,E$3:AI$3*ISNUMBER(E10:AI10))))</f>
        <v>0</v>
      </c>
      <c r="AL10" s="48">
        <f t="array" aca="1" ref="AL10" ca="1">SUM(IFERROR(((ISNUMBER(MATCH($E$3:$AI$3,DATA!$C$2:$C$98,))+ISNUMBER(MATCH($E$3:$AI$3,,)))&gt;0)*$E10:$AI11,))</f>
        <v>0</v>
      </c>
      <c r="AM10" s="48">
        <f ca="1">SUM(E10:AI10)-AK10</f>
        <v>0</v>
      </c>
      <c r="AN10" s="64">
        <f>SUM(E11:AI11)</f>
        <v>0</v>
      </c>
      <c r="AO10" s="47" cm="1">
        <f t="array" aca="1" ref="AO10" ca="1">SUM(IFERROR((((WEEKDAY($E$3:$AI$3,2)&gt;5)+ISNUMBER(MATCH($E$3:$AI$3,DATA!$C$2:$C$30,))+ISNUMBER(MATCH($E$3:$AI$3,DATA!$F$2:$F$30,))-(ISNUMBER(MATCH($E$3:$AI$3,DATA!$D$2:$D$30,))))&gt;0)*$E10:$AI10,))</f>
        <v>0</v>
      </c>
      <c r="AP10" s="48">
        <f>COUNTIF($E10:$AI10,"В")</f>
        <v>0</v>
      </c>
      <c r="AQ10" s="48">
        <f>COUNTIF($E10:$AI10,"О")</f>
        <v>0</v>
      </c>
      <c r="AR10" s="48">
        <f>COUNTIF($E10:$AI10,"А")</f>
        <v>0</v>
      </c>
      <c r="AS10" s="47">
        <f t="shared" ref="AS10" si="4">COUNTIF($E10:$AI10,"П")</f>
        <v>0</v>
      </c>
      <c r="AT10" s="50">
        <f>COUNTIF($E10:$AI10,"Б")</f>
        <v>0</v>
      </c>
    </row>
    <row r="11" spans="1:46" s="1" customFormat="1" ht="21" customHeight="1" x14ac:dyDescent="0.3">
      <c r="A11" s="53"/>
      <c r="B11" s="55"/>
      <c r="C11" s="57"/>
      <c r="D11" s="5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48"/>
      <c r="AK11" s="48"/>
      <c r="AL11" s="48"/>
      <c r="AM11" s="48"/>
      <c r="AN11" s="64"/>
      <c r="AO11" s="48"/>
      <c r="AP11" s="48"/>
      <c r="AQ11" s="48"/>
      <c r="AR11" s="48"/>
      <c r="AS11" s="48"/>
      <c r="AT11" s="50"/>
    </row>
    <row r="12" spans="1:46" s="1" customFormat="1" ht="21" customHeight="1" x14ac:dyDescent="0.3">
      <c r="A12" s="52" t="str">
        <f>IF(C12="","",SUBTOTAL(103,$B$4:B12))</f>
        <v/>
      </c>
      <c r="B12" s="55"/>
      <c r="C12" s="56" t="str">
        <f>IFERROR(VLOOKUP(Апрель!B12,DATA!$H$2:$I$15,2,0),"")</f>
        <v/>
      </c>
      <c r="D12" s="58" t="str">
        <f>IFERROR(VLOOKUP(B12,DATA!$H$2:$L$15,3,0),"")</f>
        <v/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1"/>
      <c r="AJ12" s="48">
        <f>COUNTIF($E12:$AI12,"&gt;0")</f>
        <v>0</v>
      </c>
      <c r="AK12" s="47" cm="1">
        <f t="array" aca="1" ref="AK12" ca="1">SUM(IF((COUNTIF(DATA!C$2:C$28,E$3:AI$3)+(WEEKDAY($E$3:$AI$3,2)&gt;5)),E12:AI12,TEXT(E12:AI12,"[&gt;8]8;;0;\0")-COUNTIFS(DATA!E$2:E$28,E$3:AI$3*(E12:AI12&gt;7),DATA!F$2:F$28,E$3:AI$3*ISNUMBER(E12:AI12))))</f>
        <v>0</v>
      </c>
      <c r="AL12" s="48">
        <f t="array" aca="1" ref="AL12" ca="1">SUM(IFERROR(((ISNUMBER(MATCH($E$3:$AI$3,DATA!$C$2:$C$98,))+ISNUMBER(MATCH($E$3:$AI$3,,)))&gt;0)*$E12:$AI13,))</f>
        <v>0</v>
      </c>
      <c r="AM12" s="48">
        <f ca="1">SUM(E12:AI12)-AK12</f>
        <v>0</v>
      </c>
      <c r="AN12" s="64">
        <f>SUM(E13:AI13)</f>
        <v>0</v>
      </c>
      <c r="AO12" s="47" cm="1">
        <f t="array" aca="1" ref="AO12" ca="1">SUM(IFERROR((((WEEKDAY($E$3:$AI$3,2)&gt;5)+ISNUMBER(MATCH($E$3:$AI$3,DATA!$C$2:$C$30,))+ISNUMBER(MATCH($E$3:$AI$3,DATA!$F$2:$F$30,))-(ISNUMBER(MATCH($E$3:$AI$3,DATA!$D$2:$D$30,))))&gt;0)*$E12:$AI12,))</f>
        <v>0</v>
      </c>
      <c r="AP12" s="48">
        <f>COUNTIF($E12:$AI12,"В")</f>
        <v>0</v>
      </c>
      <c r="AQ12" s="48">
        <f>COUNTIF($E12:$AI12,"О")</f>
        <v>0</v>
      </c>
      <c r="AR12" s="48">
        <f>COUNTIF($E12:$AI12,"А")</f>
        <v>0</v>
      </c>
      <c r="AS12" s="47">
        <f t="shared" ref="AS12" si="5">COUNTIF($E12:$AI12,"П")</f>
        <v>0</v>
      </c>
      <c r="AT12" s="50">
        <f>COUNTIF($E12:$AI12,"Б")</f>
        <v>0</v>
      </c>
    </row>
    <row r="13" spans="1:46" s="1" customFormat="1" ht="21.75" customHeight="1" x14ac:dyDescent="0.3">
      <c r="A13" s="53"/>
      <c r="B13" s="55"/>
      <c r="C13" s="57"/>
      <c r="D13" s="59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48"/>
      <c r="AK13" s="48"/>
      <c r="AL13" s="48"/>
      <c r="AM13" s="48"/>
      <c r="AN13" s="64"/>
      <c r="AO13" s="48"/>
      <c r="AP13" s="48"/>
      <c r="AQ13" s="48"/>
      <c r="AR13" s="48"/>
      <c r="AS13" s="48"/>
      <c r="AT13" s="50"/>
    </row>
    <row r="14" spans="1:46" s="1" customFormat="1" ht="21" hidden="1" customHeight="1" x14ac:dyDescent="0.3">
      <c r="A14" s="52" t="str">
        <f>IF(C14="","",SUBTOTAL(103,$B$4:B14))</f>
        <v/>
      </c>
      <c r="B14" s="55"/>
      <c r="C14" s="56" t="str">
        <f>IFERROR(VLOOKUP(Апрель!B14,DATA!$H$2:$I$15,2,0),"")</f>
        <v/>
      </c>
      <c r="D14" s="58" t="str">
        <f>IFERROR(VLOOKUP(B14,DATA!$H$2:$L$15,3,0),"")</f>
        <v/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1"/>
      <c r="AJ14" s="48">
        <f>COUNTIF($E14:$AI14,"&gt;0")</f>
        <v>0</v>
      </c>
      <c r="AK14" s="47" cm="1">
        <f t="array" aca="1" ref="AK14" ca="1">SUM(IF((COUNTIF(DATA!C$2:C$28,E$3:AI$3)+(WEEKDAY($E$3:$AI$3,2)&gt;5)),E14:AI14,TEXT(E14:AI14,"[&gt;8]8;;0;\0")-COUNTIFS(DATA!E$2:E$28,E$3:AI$3*(E14:AI14&gt;7),DATA!F$2:F$28,E$3:AI$3*ISNUMBER(E14:AI14))))</f>
        <v>0</v>
      </c>
      <c r="AL14" s="48">
        <f t="array" aca="1" ref="AL14" ca="1">SUM(IFERROR(((ISNUMBER(MATCH($E$3:$AI$3,DATA!$C$2:$C$98,))+ISNUMBER(MATCH($E$3:$AI$3,,)))&gt;0)*$E14:$AI15,))</f>
        <v>0</v>
      </c>
      <c r="AM14" s="48">
        <f ca="1">SUM(E14:AI14)-AK14</f>
        <v>0</v>
      </c>
      <c r="AN14" s="64">
        <f>SUM(E15:AI15)</f>
        <v>0</v>
      </c>
      <c r="AO14" s="47" cm="1">
        <f t="array" aca="1" ref="AO14" ca="1">SUM(IFERROR((((WEEKDAY($E$3:$AI$3,2)&gt;5)+ISNUMBER(MATCH($E$3:$AI$3,DATA!$C$2:$C$30,))+ISNUMBER(MATCH($E$3:$AI$3,DATA!$F$2:$F$30,))-(ISNUMBER(MATCH($E$3:$AI$3,DATA!$D$2:$D$30,))))&gt;0)*$E14:$AI14,))</f>
        <v>0</v>
      </c>
      <c r="AP14" s="48">
        <f>COUNTIF($E14:$AI14,"В")</f>
        <v>0</v>
      </c>
      <c r="AQ14" s="48">
        <f>COUNTIF($E14:$AI14,"О")</f>
        <v>0</v>
      </c>
      <c r="AR14" s="48">
        <f>COUNTIF($E14:$AI14,"А")</f>
        <v>0</v>
      </c>
      <c r="AS14" s="47">
        <f t="shared" ref="AS14" si="6">COUNTIF($E14:$AI14,"П")</f>
        <v>0</v>
      </c>
      <c r="AT14" s="50">
        <f>COUNTIF($E14:$AI14,"Б")</f>
        <v>0</v>
      </c>
    </row>
    <row r="15" spans="1:46" s="1" customFormat="1" ht="21" hidden="1" customHeight="1" x14ac:dyDescent="0.3">
      <c r="A15" s="53"/>
      <c r="B15" s="55"/>
      <c r="C15" s="57"/>
      <c r="D15" s="59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48"/>
      <c r="AK15" s="48"/>
      <c r="AL15" s="48"/>
      <c r="AM15" s="48"/>
      <c r="AN15" s="64"/>
      <c r="AO15" s="48"/>
      <c r="AP15" s="48"/>
      <c r="AQ15" s="48"/>
      <c r="AR15" s="48"/>
      <c r="AS15" s="48"/>
      <c r="AT15" s="50"/>
    </row>
    <row r="16" spans="1:46" s="1" customFormat="1" ht="21" customHeight="1" x14ac:dyDescent="0.3">
      <c r="A16" s="52" t="str">
        <f>IF(C16="","",SUBTOTAL(103,$B$4:B16))</f>
        <v/>
      </c>
      <c r="B16" s="55"/>
      <c r="C16" s="56" t="str">
        <f>IFERROR(VLOOKUP(Апрель!B16,DATA!$H$2:$I$15,2,0),"")</f>
        <v/>
      </c>
      <c r="D16" s="58" t="str">
        <f>IFERROR(VLOOKUP(B16,DATA!$H$2:$L$15,3,0),"")</f>
        <v/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1"/>
      <c r="AJ16" s="48">
        <f>COUNTIF($E16:$AI16,"&gt;0")</f>
        <v>0</v>
      </c>
      <c r="AK16" s="47" cm="1">
        <f t="array" aca="1" ref="AK16" ca="1">SUM(IF((COUNTIF(DATA!C$2:C$28,E$3:AI$3)+(WEEKDAY($E$3:$AI$3,2)&gt;5)),E16:AI16,TEXT(E16:AI16,"[&gt;8]8;;0;\0")-COUNTIFS(DATA!E$2:E$28,E$3:AI$3*(E16:AI16&gt;7),DATA!F$2:F$28,E$3:AI$3*ISNUMBER(E16:AI16))))</f>
        <v>0</v>
      </c>
      <c r="AL16" s="48">
        <f t="array" aca="1" ref="AL16" ca="1">SUM(IFERROR(((ISNUMBER(MATCH($E$3:$AI$3,DATA!$C$2:$C$98,))+ISNUMBER(MATCH($E$3:$AI$3,,)))&gt;0)*$E16:$AI17,))</f>
        <v>0</v>
      </c>
      <c r="AM16" s="48">
        <f ca="1">SUM(E16:AI16)-AK16</f>
        <v>0</v>
      </c>
      <c r="AN16" s="64">
        <f>SUM(E17:AI17)</f>
        <v>0</v>
      </c>
      <c r="AO16" s="47" cm="1">
        <f t="array" aca="1" ref="AO16" ca="1">SUM(IFERROR((((WEEKDAY($E$3:$AI$3,2)&gt;5)+ISNUMBER(MATCH($E$3:$AI$3,DATA!$C$2:$C$30,))+ISNUMBER(MATCH($E$3:$AI$3,DATA!$F$2:$F$30,))-(ISNUMBER(MATCH($E$3:$AI$3,DATA!$D$2:$D$30,))))&gt;0)*$E16:$AI16,))</f>
        <v>0</v>
      </c>
      <c r="AP16" s="48">
        <f>COUNTIF($E16:$AI16,"В")</f>
        <v>0</v>
      </c>
      <c r="AQ16" s="48">
        <f>COUNTIF($E16:$AI16,"О")</f>
        <v>0</v>
      </c>
      <c r="AR16" s="48">
        <f>COUNTIF($E16:$AI16,"А")</f>
        <v>0</v>
      </c>
      <c r="AS16" s="47">
        <f t="shared" ref="AS16" si="7">COUNTIF($E16:$AI16,"П")</f>
        <v>0</v>
      </c>
      <c r="AT16" s="50">
        <f>COUNTIF($E16:$AI16,"Б")</f>
        <v>0</v>
      </c>
    </row>
    <row r="17" spans="1:46" s="1" customFormat="1" ht="21" x14ac:dyDescent="0.3">
      <c r="A17" s="53"/>
      <c r="B17" s="55"/>
      <c r="C17" s="57"/>
      <c r="D17" s="59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48"/>
      <c r="AK17" s="48"/>
      <c r="AL17" s="48"/>
      <c r="AM17" s="48"/>
      <c r="AN17" s="64"/>
      <c r="AO17" s="48"/>
      <c r="AP17" s="48"/>
      <c r="AQ17" s="48"/>
      <c r="AR17" s="48"/>
      <c r="AS17" s="48"/>
      <c r="AT17" s="50"/>
    </row>
    <row r="18" spans="1:46" s="1" customFormat="1" ht="21" customHeight="1" x14ac:dyDescent="0.3">
      <c r="A18" s="52" t="str">
        <f>IF(C18="","",SUBTOTAL(103,$B$4:B18))</f>
        <v/>
      </c>
      <c r="B18" s="55"/>
      <c r="C18" s="56" t="str">
        <f>IFERROR(VLOOKUP(Апрель!B18,DATA!$H$2:$I$15,2,0),"")</f>
        <v/>
      </c>
      <c r="D18" s="58" t="str">
        <f>IFERROR(VLOOKUP(B18,DATA!$H$2:$L$15,3,0),"")</f>
        <v/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1"/>
      <c r="AJ18" s="48">
        <f>COUNTIF($E18:$AI18,"&gt;0")</f>
        <v>0</v>
      </c>
      <c r="AK18" s="47" cm="1">
        <f t="array" aca="1" ref="AK18" ca="1">SUM(IF((COUNTIF(DATA!C$2:C$28,E$3:AI$3)+(WEEKDAY($E$3:$AI$3,2)&gt;5)),E18:AI18,TEXT(E18:AI18,"[&gt;8]8;;0;\0")-COUNTIFS(DATA!E$2:E$28,E$3:AI$3*(E18:AI18&gt;7),DATA!F$2:F$28,E$3:AI$3*ISNUMBER(E18:AI18))))</f>
        <v>0</v>
      </c>
      <c r="AL18" s="48">
        <f t="array" aca="1" ref="AL18" ca="1">SUM(IFERROR(((ISNUMBER(MATCH($E$3:$AI$3,DATA!$C$2:$C$98,))+ISNUMBER(MATCH($E$3:$AI$3,,)))&gt;0)*$E18:$AI19,))</f>
        <v>0</v>
      </c>
      <c r="AM18" s="48">
        <f ca="1">SUM(E18:AI18)-AK18</f>
        <v>0</v>
      </c>
      <c r="AN18" s="64">
        <f>SUM(E19:AI19)</f>
        <v>0</v>
      </c>
      <c r="AO18" s="47" cm="1">
        <f t="array" aca="1" ref="AO18" ca="1">SUM(IFERROR((((WEEKDAY($E$3:$AI$3,2)&gt;5)+ISNUMBER(MATCH($E$3:$AI$3,DATA!$C$2:$C$30,))+ISNUMBER(MATCH($E$3:$AI$3,DATA!$F$2:$F$30,))-(ISNUMBER(MATCH($E$3:$AI$3,DATA!$D$2:$D$30,))))&gt;0)*$E18:$AI18,))</f>
        <v>0</v>
      </c>
      <c r="AP18" s="48">
        <f>COUNTIF($E18:$AI18,"В")</f>
        <v>0</v>
      </c>
      <c r="AQ18" s="48">
        <f>COUNTIF($E18:$AI18,"О")</f>
        <v>0</v>
      </c>
      <c r="AR18" s="48">
        <f>COUNTIF($E18:$AI18,"А")</f>
        <v>0</v>
      </c>
      <c r="AS18" s="47">
        <f t="shared" ref="AS18" si="8">COUNTIF($E18:$AI18,"П")</f>
        <v>0</v>
      </c>
      <c r="AT18" s="50">
        <f>COUNTIF($E18:$AI18,"Б")</f>
        <v>0</v>
      </c>
    </row>
    <row r="19" spans="1:46" s="1" customFormat="1" ht="21" x14ac:dyDescent="0.3">
      <c r="A19" s="53"/>
      <c r="B19" s="55"/>
      <c r="C19" s="57"/>
      <c r="D19" s="5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48"/>
      <c r="AK19" s="48"/>
      <c r="AL19" s="48"/>
      <c r="AM19" s="48"/>
      <c r="AN19" s="64"/>
      <c r="AO19" s="48"/>
      <c r="AP19" s="48"/>
      <c r="AQ19" s="48"/>
      <c r="AR19" s="48"/>
      <c r="AS19" s="48"/>
      <c r="AT19" s="50"/>
    </row>
    <row r="20" spans="1:46" s="1" customFormat="1" ht="21" customHeight="1" x14ac:dyDescent="0.3">
      <c r="A20" s="52" t="str">
        <f>IF(C20="","",SUBTOTAL(103,$B$4:B20))</f>
        <v/>
      </c>
      <c r="B20" s="54"/>
      <c r="C20" s="56" t="str">
        <f>IFERROR(VLOOKUP(Апрель!B20,DATA!$H$2:$I$15,2,0),"")</f>
        <v/>
      </c>
      <c r="D20" s="58" t="str">
        <f>IFERROR(VLOOKUP(B20,DATA!$H$2:$L$15,3,0),"")</f>
        <v/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1"/>
      <c r="AJ20" s="48">
        <f>COUNTIF($E20:$AI20,"&gt;0")</f>
        <v>0</v>
      </c>
      <c r="AK20" s="47" cm="1">
        <f t="array" aca="1" ref="AK20" ca="1">SUM(IF((COUNTIF(DATA!C$2:C$28,E$3:AI$3)+(WEEKDAY($E$3:$AI$3,2)&gt;5)),E20:AI20,TEXT(E20:AI20,"[&gt;8]8;;0;\0")-COUNTIFS(DATA!E$2:E$28,E$3:AI$3*(E20:AI20&gt;7),DATA!F$2:F$28,E$3:AI$3*ISNUMBER(E20:AI20))))</f>
        <v>0</v>
      </c>
      <c r="AL20" s="48">
        <f t="array" aca="1" ref="AL20" ca="1">SUM(IFERROR(((ISNUMBER(MATCH($E$3:$AI$3,DATA!$C$2:$C$98,))+ISNUMBER(MATCH($E$3:$AI$3,,)))&gt;0)*$E20:$AI21,))</f>
        <v>0</v>
      </c>
      <c r="AM20" s="48">
        <f ca="1">SUM(E20:AI20)-AK20</f>
        <v>0</v>
      </c>
      <c r="AN20" s="64">
        <f>SUM(E21:AI21)</f>
        <v>0</v>
      </c>
      <c r="AO20" s="47" cm="1">
        <f t="array" aca="1" ref="AO20" ca="1">SUM(IFERROR((((WEEKDAY($E$3:$AI$3,2)&gt;5)+ISNUMBER(MATCH($E$3:$AI$3,DATA!$C$2:$C$30,))+ISNUMBER(MATCH($E$3:$AI$3,DATA!$F$2:$F$30,))-(ISNUMBER(MATCH($E$3:$AI$3,DATA!$D$2:$D$30,))))&gt;0)*$E20:$AI20,))</f>
        <v>0</v>
      </c>
      <c r="AP20" s="48">
        <f>COUNTIF($E20:$AI20,"В")</f>
        <v>0</v>
      </c>
      <c r="AQ20" s="48">
        <f>COUNTIF($E20:$AI20,"О")</f>
        <v>0</v>
      </c>
      <c r="AR20" s="48">
        <f>COUNTIF($E20:$AI20,"А")</f>
        <v>0</v>
      </c>
      <c r="AS20" s="47">
        <f t="shared" ref="AS20" si="9">COUNTIF($E20:$AI20,"П")</f>
        <v>0</v>
      </c>
      <c r="AT20" s="50">
        <f>COUNTIF($E20:$AI20,"Б")</f>
        <v>0</v>
      </c>
    </row>
    <row r="21" spans="1:46" s="1" customFormat="1" ht="21" x14ac:dyDescent="0.3">
      <c r="A21" s="53"/>
      <c r="B21" s="55"/>
      <c r="C21" s="57"/>
      <c r="D21" s="59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48"/>
      <c r="AK21" s="48"/>
      <c r="AL21" s="48"/>
      <c r="AM21" s="48"/>
      <c r="AN21" s="64"/>
      <c r="AO21" s="48"/>
      <c r="AP21" s="48"/>
      <c r="AQ21" s="48"/>
      <c r="AR21" s="48"/>
      <c r="AS21" s="48"/>
      <c r="AT21" s="50"/>
    </row>
    <row r="22" spans="1:46" s="1" customFormat="1" ht="21" customHeight="1" x14ac:dyDescent="0.3">
      <c r="A22" s="52" t="str">
        <f>IF(C22="","",SUBTOTAL(103,$B$4:B22))</f>
        <v/>
      </c>
      <c r="B22" s="54"/>
      <c r="C22" s="56" t="str">
        <f>IFERROR(VLOOKUP(Апрель!B22,DATA!$H$2:$I$15,2,0),"")</f>
        <v/>
      </c>
      <c r="D22" s="58" t="str">
        <f>IFERROR(VLOOKUP(B22,DATA!$H$2:$L$15,3,0),"")</f>
        <v/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  <c r="AJ22" s="48">
        <f>COUNTIF($E22:$AI22,"&gt;0")</f>
        <v>0</v>
      </c>
      <c r="AK22" s="47" cm="1">
        <f t="array" aca="1" ref="AK22" ca="1">SUM(IF((COUNTIF(DATA!C$2:C$28,E$3:AI$3)+(WEEKDAY($E$3:$AI$3,2)&gt;5)),E22:AI22,TEXT(E22:AI22,"[&gt;8]8;;0;\0")-COUNTIFS(DATA!E$2:E$28,E$3:AI$3*(E22:AI22&gt;7),DATA!F$2:F$28,E$3:AI$3*ISNUMBER(E22:AI22))))</f>
        <v>0</v>
      </c>
      <c r="AL22" s="48">
        <f t="array" aca="1" ref="AL22" ca="1">SUM(IFERROR(((ISNUMBER(MATCH($E$3:$AI$3,DATA!$C$2:$C$98,))+ISNUMBER(MATCH($E$3:$AI$3,,)))&gt;0)*$E22:$AI23,))</f>
        <v>0</v>
      </c>
      <c r="AM22" s="48">
        <f ca="1">SUM(E22:AI22)-AK22</f>
        <v>0</v>
      </c>
      <c r="AN22" s="64">
        <f>SUM(E23:AI23)</f>
        <v>0</v>
      </c>
      <c r="AO22" s="47" cm="1">
        <f t="array" aca="1" ref="AO22" ca="1">SUM(IFERROR((((WEEKDAY($E$3:$AI$3,2)&gt;5)+ISNUMBER(MATCH($E$3:$AI$3,DATA!$C$2:$C$30,))+ISNUMBER(MATCH($E$3:$AI$3,DATA!$F$2:$F$30,))-(ISNUMBER(MATCH($E$3:$AI$3,DATA!$D$2:$D$30,))))&gt;0)*$E22:$AI22,))</f>
        <v>0</v>
      </c>
      <c r="AP22" s="48">
        <f>COUNTIF($E22:$AI22,"В")</f>
        <v>0</v>
      </c>
      <c r="AQ22" s="48">
        <f>COUNTIF($E22:$AI22,"О")</f>
        <v>0</v>
      </c>
      <c r="AR22" s="48">
        <f>COUNTIF($E22:$AI22,"А")</f>
        <v>0</v>
      </c>
      <c r="AS22" s="47">
        <f t="shared" ref="AS22" si="10">COUNTIF($E22:$AI22,"П")</f>
        <v>0</v>
      </c>
      <c r="AT22" s="50">
        <f>COUNTIF($E22:$AI22,"Б")</f>
        <v>0</v>
      </c>
    </row>
    <row r="23" spans="1:46" s="1" customFormat="1" ht="21" x14ac:dyDescent="0.3">
      <c r="A23" s="53"/>
      <c r="B23" s="55"/>
      <c r="C23" s="57"/>
      <c r="D23" s="5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48"/>
      <c r="AK23" s="48"/>
      <c r="AL23" s="48"/>
      <c r="AM23" s="48"/>
      <c r="AN23" s="64"/>
      <c r="AO23" s="48"/>
      <c r="AP23" s="48"/>
      <c r="AQ23" s="48"/>
      <c r="AR23" s="48"/>
      <c r="AS23" s="48"/>
      <c r="AT23" s="50"/>
    </row>
    <row r="24" spans="1:46" s="1" customFormat="1" ht="21" customHeight="1" x14ac:dyDescent="0.3">
      <c r="A24" s="52" t="str">
        <f>IF(C24="","",SUBTOTAL(103,$B$4:B24))</f>
        <v/>
      </c>
      <c r="B24" s="54"/>
      <c r="C24" s="56" t="str">
        <f>IFERROR(VLOOKUP(Апрель!B24,DATA!$H$2:$I$15,2,0),"")</f>
        <v/>
      </c>
      <c r="D24" s="58" t="str">
        <f>IFERROR(VLOOKUP(B24,DATA!$H$2:$L$15,3,0),"")</f>
        <v/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1"/>
      <c r="AJ24" s="48">
        <f>COUNTIF($E24:$AI24,"&gt;0")</f>
        <v>0</v>
      </c>
      <c r="AK24" s="47" cm="1">
        <f t="array" aca="1" ref="AK24" ca="1">SUM(IF((COUNTIF(DATA!C$2:C$28,E$3:AI$3)+(WEEKDAY($E$3:$AI$3,2)&gt;5)),E24:AI24,TEXT(E24:AI24,"[&gt;8]8;;0;\0")-COUNTIFS(DATA!E$2:E$28,E$3:AI$3*(E24:AI24&gt;7),DATA!F$2:F$28,E$3:AI$3*ISNUMBER(E24:AI24))))</f>
        <v>0</v>
      </c>
      <c r="AL24" s="48">
        <f t="array" aca="1" ref="AL24" ca="1">SUM(IFERROR(((ISNUMBER(MATCH($E$3:$AI$3,DATA!$C$2:$C$98,))+ISNUMBER(MATCH($E$3:$AI$3,,)))&gt;0)*$E24:$AI25,))</f>
        <v>0</v>
      </c>
      <c r="AM24" s="48">
        <f ca="1">SUM(E24:AI24)-AK24</f>
        <v>0</v>
      </c>
      <c r="AN24" s="64">
        <f>SUM(E25:AI25)</f>
        <v>0</v>
      </c>
      <c r="AO24" s="47" cm="1">
        <f t="array" aca="1" ref="AO24" ca="1">SUM(IFERROR((((WEEKDAY($E$3:$AI$3,2)&gt;5)+ISNUMBER(MATCH($E$3:$AI$3,DATA!$C$2:$C$30,))+ISNUMBER(MATCH($E$3:$AI$3,DATA!$F$2:$F$30,))-(ISNUMBER(MATCH($E$3:$AI$3,DATA!$D$2:$D$30,))))&gt;0)*$E24:$AI24,))</f>
        <v>0</v>
      </c>
      <c r="AP24" s="48">
        <f>COUNTIF($E24:$AI24,"В")</f>
        <v>0</v>
      </c>
      <c r="AQ24" s="48">
        <f>COUNTIF($E24:$AI24,"О")</f>
        <v>0</v>
      </c>
      <c r="AR24" s="48">
        <f>COUNTIF($E24:$AI24,"А")</f>
        <v>0</v>
      </c>
      <c r="AS24" s="47">
        <f t="shared" ref="AS24" si="11">COUNTIF($E24:$AI24,"П")</f>
        <v>0</v>
      </c>
      <c r="AT24" s="50">
        <f>COUNTIF($E24:$AI24,"Б")</f>
        <v>0</v>
      </c>
    </row>
    <row r="25" spans="1:46" s="1" customFormat="1" ht="21" x14ac:dyDescent="0.3">
      <c r="A25" s="53"/>
      <c r="B25" s="55"/>
      <c r="C25" s="57"/>
      <c r="D25" s="5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48"/>
      <c r="AK25" s="48"/>
      <c r="AL25" s="48"/>
      <c r="AM25" s="48"/>
      <c r="AN25" s="64"/>
      <c r="AO25" s="48"/>
      <c r="AP25" s="48"/>
      <c r="AQ25" s="48"/>
      <c r="AR25" s="48"/>
      <c r="AS25" s="48"/>
      <c r="AT25" s="50"/>
    </row>
    <row r="26" spans="1:46" s="1" customFormat="1" ht="21" x14ac:dyDescent="0.3">
      <c r="A26" s="52" t="str">
        <f>IF(C26="","",SUBTOTAL(103,$B$4:B26))</f>
        <v/>
      </c>
      <c r="B26" s="54"/>
      <c r="C26" s="56" t="str">
        <f>IFERROR(VLOOKUP(Апрель!B26,DATA!$H$2:$I$15,2,0),"")</f>
        <v/>
      </c>
      <c r="D26" s="58" t="str">
        <f>IFERROR(VLOOKUP(B26,DATA!$H$2:$L$15,3,0),"")</f>
        <v/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1"/>
      <c r="AJ26" s="48">
        <f>COUNTIF($E26:$AI26,"&gt;0")</f>
        <v>0</v>
      </c>
      <c r="AK26" s="47" cm="1">
        <f t="array" aca="1" ref="AK26" ca="1">SUM(IF((COUNTIF(DATA!C$2:C$28,E$3:AI$3)+(WEEKDAY($E$3:$AI$3,2)&gt;5)),E26:AI26,TEXT(E26:AI26,"[&gt;8]8;;0;\0")-COUNTIFS(DATA!E$2:E$28,E$3:AI$3*(E26:AI26&gt;7),DATA!F$2:F$28,E$3:AI$3*ISNUMBER(E26:AI26))))</f>
        <v>0</v>
      </c>
      <c r="AL26" s="48">
        <f t="array" aca="1" ref="AL26" ca="1">SUM(IFERROR(((ISNUMBER(MATCH($E$3:$AI$3,DATA!$C$2:$C$98,))+ISNUMBER(MATCH($E$3:$AI$3,,)))&gt;0)*$E26:$AI27,))</f>
        <v>0</v>
      </c>
      <c r="AM26" s="48">
        <f ca="1">SUM(E26:AI26)-AK26</f>
        <v>0</v>
      </c>
      <c r="AN26" s="64">
        <f>SUM(E27:AI27)</f>
        <v>0</v>
      </c>
      <c r="AO26" s="47" cm="1">
        <f t="array" aca="1" ref="AO26" ca="1">SUM(IFERROR((((WEEKDAY($E$3:$AI$3,2)&gt;5)+ISNUMBER(MATCH($E$3:$AI$3,DATA!$C$2:$C$30,))+ISNUMBER(MATCH($E$3:$AI$3,DATA!$F$2:$F$30,))-(ISNUMBER(MATCH($E$3:$AI$3,DATA!$D$2:$D$30,))))&gt;0)*$E26:$AI26,))</f>
        <v>0</v>
      </c>
      <c r="AP26" s="48">
        <f>COUNTIF($E26:$AI26,"В")</f>
        <v>0</v>
      </c>
      <c r="AQ26" s="48">
        <f>COUNTIF($E26:$AI26,"О")</f>
        <v>0</v>
      </c>
      <c r="AR26" s="48">
        <f>COUNTIF($E26:$AI26,"А")</f>
        <v>0</v>
      </c>
      <c r="AS26" s="47">
        <f t="shared" ref="AS26" si="12">COUNTIF($E26:$AI26,"П")</f>
        <v>0</v>
      </c>
      <c r="AT26" s="50">
        <f>COUNTIF($E26:$AI26,"Б")</f>
        <v>0</v>
      </c>
    </row>
    <row r="27" spans="1:46" s="1" customFormat="1" ht="21" x14ac:dyDescent="0.3">
      <c r="A27" s="53"/>
      <c r="B27" s="55"/>
      <c r="C27" s="57"/>
      <c r="D27" s="59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48"/>
      <c r="AK27" s="48"/>
      <c r="AL27" s="48"/>
      <c r="AM27" s="48"/>
      <c r="AN27" s="64"/>
      <c r="AO27" s="48"/>
      <c r="AP27" s="48"/>
      <c r="AQ27" s="48"/>
      <c r="AR27" s="48"/>
      <c r="AS27" s="48"/>
      <c r="AT27" s="50"/>
    </row>
    <row r="28" spans="1:46" s="1" customFormat="1" ht="21" x14ac:dyDescent="0.3">
      <c r="A28" s="16"/>
      <c r="B28" s="16"/>
      <c r="C28" s="16"/>
      <c r="D28" s="16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71" t="s">
        <v>6</v>
      </c>
      <c r="AF28" s="71"/>
      <c r="AG28" s="71"/>
      <c r="AH28" s="71"/>
      <c r="AI28" s="72"/>
      <c r="AJ28" s="44">
        <f>SUBTOTAL(109,AJ4:AJ27)</f>
        <v>74</v>
      </c>
      <c r="AK28" s="44">
        <f ca="1">SUBTOTAL(109,AK4:AK27)</f>
        <v>542</v>
      </c>
      <c r="AL28" s="44"/>
      <c r="AM28" s="44">
        <f t="shared" ref="AM28:AT28" ca="1" si="13">SUBTOTAL(109,AM4:AM27)</f>
        <v>32</v>
      </c>
      <c r="AN28" s="45">
        <f t="shared" si="13"/>
        <v>3</v>
      </c>
      <c r="AO28" s="44">
        <f t="shared" ca="1" si="13"/>
        <v>41</v>
      </c>
      <c r="AP28" s="44">
        <f t="shared" si="13"/>
        <v>16</v>
      </c>
      <c r="AQ28" s="44">
        <f t="shared" si="13"/>
        <v>0</v>
      </c>
      <c r="AR28" s="44">
        <f t="shared" si="13"/>
        <v>0</v>
      </c>
      <c r="AS28" s="44">
        <f t="shared" si="13"/>
        <v>0</v>
      </c>
      <c r="AT28" s="46">
        <f t="shared" si="13"/>
        <v>0</v>
      </c>
    </row>
    <row r="29" spans="1:46" s="1" customFormat="1" ht="18.75" x14ac:dyDescent="0.3">
      <c r="A29" s="16"/>
      <c r="B29" s="1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6" s="1" customFormat="1" ht="18.75" x14ac:dyDescent="0.3">
      <c r="B30" s="24" t="s">
        <v>1</v>
      </c>
      <c r="C30" s="12" t="s">
        <v>3</v>
      </c>
      <c r="D30" s="13"/>
      <c r="E30" s="11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6" s="1" customFormat="1" ht="18.75" x14ac:dyDescent="0.3">
      <c r="B31" s="9" t="s">
        <v>43</v>
      </c>
      <c r="C31" s="10" t="s">
        <v>8</v>
      </c>
      <c r="D31" s="13"/>
      <c r="E31" s="11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6" s="1" customFormat="1" ht="18.75" x14ac:dyDescent="0.3">
      <c r="B32" s="9" t="s">
        <v>4</v>
      </c>
      <c r="C32" s="10" t="s">
        <v>0</v>
      </c>
      <c r="D32" s="14"/>
      <c r="E32" s="11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t="18.75" x14ac:dyDescent="0.25">
      <c r="B33" s="9" t="s">
        <v>9</v>
      </c>
      <c r="C33" s="10" t="s">
        <v>5</v>
      </c>
      <c r="D33" s="15"/>
      <c r="E33" s="11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t="18.75" x14ac:dyDescent="0.25">
      <c r="A34" s="8"/>
      <c r="B34" s="9" t="s">
        <v>12</v>
      </c>
      <c r="C34" s="12" t="s">
        <v>15</v>
      </c>
      <c r="D34" s="1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8" spans="1:44" x14ac:dyDescent="0.25">
      <c r="D38">
        <f>SUM(E4:AH4)</f>
        <v>207</v>
      </c>
    </row>
    <row r="39" spans="1:44" x14ac:dyDescent="0.25">
      <c r="D39" s="43">
        <f ca="1">D38-AM4</f>
        <v>186</v>
      </c>
    </row>
  </sheetData>
  <sheetProtection selectLockedCells="1"/>
  <mergeCells count="188">
    <mergeCell ref="AM26:AM27"/>
    <mergeCell ref="AM24:AM25"/>
    <mergeCell ref="AT26:AT27"/>
    <mergeCell ref="AE28:AI28"/>
    <mergeCell ref="AN26:AN27"/>
    <mergeCell ref="AO26:AO27"/>
    <mergeCell ref="AP26:AP27"/>
    <mergeCell ref="AQ26:AQ27"/>
    <mergeCell ref="AR26:AR27"/>
    <mergeCell ref="AS26:AS27"/>
    <mergeCell ref="AS24:AS25"/>
    <mergeCell ref="AT24:AT25"/>
    <mergeCell ref="AN24:AN25"/>
    <mergeCell ref="AO24:AO25"/>
    <mergeCell ref="AP24:AP25"/>
    <mergeCell ref="AQ24:AQ25"/>
    <mergeCell ref="AR24:AR25"/>
    <mergeCell ref="AJ22:AJ23"/>
    <mergeCell ref="AK22:AK23"/>
    <mergeCell ref="A26:A27"/>
    <mergeCell ref="B26:B27"/>
    <mergeCell ref="C26:C27"/>
    <mergeCell ref="D26:D27"/>
    <mergeCell ref="AJ26:AJ27"/>
    <mergeCell ref="AK26:AK27"/>
    <mergeCell ref="AL26:AL27"/>
    <mergeCell ref="C18:C19"/>
    <mergeCell ref="D18:D19"/>
    <mergeCell ref="AJ18:AJ19"/>
    <mergeCell ref="AK18:AK19"/>
    <mergeCell ref="AR22:AR23"/>
    <mergeCell ref="AS22:AS23"/>
    <mergeCell ref="AT22:AT23"/>
    <mergeCell ref="A24:A25"/>
    <mergeCell ref="B24:B25"/>
    <mergeCell ref="C24:C25"/>
    <mergeCell ref="D24:D25"/>
    <mergeCell ref="AJ24:AJ25"/>
    <mergeCell ref="AK24:AK25"/>
    <mergeCell ref="AL24:AL25"/>
    <mergeCell ref="AL22:AL23"/>
    <mergeCell ref="AM22:AM23"/>
    <mergeCell ref="AN22:AN23"/>
    <mergeCell ref="AO22:AO23"/>
    <mergeCell ref="AP22:AP23"/>
    <mergeCell ref="AQ22:AQ23"/>
    <mergeCell ref="A22:A23"/>
    <mergeCell ref="B22:B23"/>
    <mergeCell ref="C22:C23"/>
    <mergeCell ref="D22:D23"/>
    <mergeCell ref="AO20:AO21"/>
    <mergeCell ref="AP20:AP21"/>
    <mergeCell ref="AQ20:AQ21"/>
    <mergeCell ref="AR20:AR21"/>
    <mergeCell ref="AS20:AS21"/>
    <mergeCell ref="AT20:AT21"/>
    <mergeCell ref="AT18:AT19"/>
    <mergeCell ref="A20:A21"/>
    <mergeCell ref="B20:B21"/>
    <mergeCell ref="C20:C21"/>
    <mergeCell ref="D20:D21"/>
    <mergeCell ref="AJ20:AJ21"/>
    <mergeCell ref="AK20:AK21"/>
    <mergeCell ref="AL20:AL21"/>
    <mergeCell ref="AM20:AM21"/>
    <mergeCell ref="AN20:AN21"/>
    <mergeCell ref="AN18:AN19"/>
    <mergeCell ref="AO18:AO19"/>
    <mergeCell ref="AP18:AP19"/>
    <mergeCell ref="AQ18:AQ19"/>
    <mergeCell ref="AR18:AR19"/>
    <mergeCell ref="AS18:AS19"/>
    <mergeCell ref="A18:A19"/>
    <mergeCell ref="B18:B19"/>
    <mergeCell ref="A14:A15"/>
    <mergeCell ref="B14:B15"/>
    <mergeCell ref="C14:C15"/>
    <mergeCell ref="D14:D15"/>
    <mergeCell ref="AJ14:AJ15"/>
    <mergeCell ref="AN16:AN17"/>
    <mergeCell ref="AO16:AO17"/>
    <mergeCell ref="AP16:AP17"/>
    <mergeCell ref="AQ16:AQ17"/>
    <mergeCell ref="AQ10:AQ11"/>
    <mergeCell ref="AR10:AR11"/>
    <mergeCell ref="AS10:AS11"/>
    <mergeCell ref="A10:A11"/>
    <mergeCell ref="B10:B11"/>
    <mergeCell ref="C10:C11"/>
    <mergeCell ref="AL18:AL19"/>
    <mergeCell ref="AM18:AM19"/>
    <mergeCell ref="AM16:AM17"/>
    <mergeCell ref="AR14:AR15"/>
    <mergeCell ref="AS14:AS15"/>
    <mergeCell ref="A16:A17"/>
    <mergeCell ref="B16:B17"/>
    <mergeCell ref="C16:C17"/>
    <mergeCell ref="D16:D17"/>
    <mergeCell ref="AJ16:AJ17"/>
    <mergeCell ref="AK16:AK17"/>
    <mergeCell ref="AL16:AL17"/>
    <mergeCell ref="AL14:AL15"/>
    <mergeCell ref="AM14:AM15"/>
    <mergeCell ref="AN14:AN15"/>
    <mergeCell ref="AO14:AO15"/>
    <mergeCell ref="AP14:AP15"/>
    <mergeCell ref="AQ14:AQ15"/>
    <mergeCell ref="A12:A13"/>
    <mergeCell ref="B12:B13"/>
    <mergeCell ref="C12:C13"/>
    <mergeCell ref="D12:D13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K14:AK15"/>
    <mergeCell ref="AS16:AS17"/>
    <mergeCell ref="AT16:AT17"/>
    <mergeCell ref="AS12:AS13"/>
    <mergeCell ref="AT12:AT13"/>
    <mergeCell ref="AT14:AT15"/>
    <mergeCell ref="AR16:AR17"/>
    <mergeCell ref="D10:D11"/>
    <mergeCell ref="AJ10:AJ11"/>
    <mergeCell ref="AK10:AK11"/>
    <mergeCell ref="AL10:AL11"/>
    <mergeCell ref="AM10:AM11"/>
    <mergeCell ref="AM8:AM9"/>
    <mergeCell ref="AR6:AR7"/>
    <mergeCell ref="AS6:AS7"/>
    <mergeCell ref="AT6:AT7"/>
    <mergeCell ref="AN6:AN7"/>
    <mergeCell ref="AO6:AO7"/>
    <mergeCell ref="AP6:AP7"/>
    <mergeCell ref="AQ6:AQ7"/>
    <mergeCell ref="AS8:AS9"/>
    <mergeCell ref="AT8:AT9"/>
    <mergeCell ref="AN8:AN9"/>
    <mergeCell ref="AO8:AO9"/>
    <mergeCell ref="AP8:AP9"/>
    <mergeCell ref="AQ8:AQ9"/>
    <mergeCell ref="AR8:AR9"/>
    <mergeCell ref="AT10:AT11"/>
    <mergeCell ref="AN10:AN11"/>
    <mergeCell ref="AO10:AO11"/>
    <mergeCell ref="AP10:AP11"/>
    <mergeCell ref="A8:A9"/>
    <mergeCell ref="B8:B9"/>
    <mergeCell ref="C8:C9"/>
    <mergeCell ref="D8:D9"/>
    <mergeCell ref="AJ8:AJ9"/>
    <mergeCell ref="AK8:AK9"/>
    <mergeCell ref="AL8:AL9"/>
    <mergeCell ref="AL6:AL7"/>
    <mergeCell ref="AM6:AM7"/>
    <mergeCell ref="A6:A7"/>
    <mergeCell ref="B6:B7"/>
    <mergeCell ref="C6:C7"/>
    <mergeCell ref="D6:D7"/>
    <mergeCell ref="AJ6:AJ7"/>
    <mergeCell ref="AK6:AK7"/>
    <mergeCell ref="AO4:AO5"/>
    <mergeCell ref="AP4:AP5"/>
    <mergeCell ref="AQ4:AQ5"/>
    <mergeCell ref="AR4:AR5"/>
    <mergeCell ref="AS4:AS5"/>
    <mergeCell ref="AT4:AT5"/>
    <mergeCell ref="AP2:AT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2:A3"/>
    <mergeCell ref="B2:B3"/>
    <mergeCell ref="C2:C3"/>
    <mergeCell ref="D2:D3"/>
    <mergeCell ref="AJ2:AJ3"/>
    <mergeCell ref="AK2:AO2"/>
  </mergeCells>
  <conditionalFormatting sqref="E4:AI27">
    <cfRule type="cellIs" dxfId="15" priority="2" operator="equal">
      <formula>"П"</formula>
    </cfRule>
    <cfRule type="cellIs" dxfId="14" priority="3" operator="equal">
      <formula>"Б"</formula>
    </cfRule>
    <cfRule type="cellIs" dxfId="13" priority="5" operator="equal">
      <formula>"А"</formula>
    </cfRule>
    <cfRule type="cellIs" dxfId="12" priority="6" operator="equal">
      <formula>"ВВ"</formula>
    </cfRule>
    <cfRule type="cellIs" dxfId="11" priority="7" operator="equal">
      <formula>"К"</formula>
    </cfRule>
    <cfRule type="cellIs" dxfId="10" priority="8" operator="equal">
      <formula>"Н"</formula>
    </cfRule>
    <cfRule type="cellIs" dxfId="9" priority="9" operator="equal">
      <formula>"О"</formula>
    </cfRule>
    <cfRule type="cellIs" dxfId="8" priority="10" operator="equal">
      <formula>"У"</formula>
    </cfRule>
    <cfRule type="cellIs" dxfId="7" priority="11" operator="equal">
      <formula>"ОГ"</formula>
    </cfRule>
  </conditionalFormatting>
  <conditionalFormatting sqref="E2:AI27">
    <cfRule type="cellIs" dxfId="6" priority="1" operator="equal">
      <formula>"В"</formula>
    </cfRule>
    <cfRule type="expression" dxfId="5" priority="16">
      <formula>(WEEKDAY(E$3,2)&gt;5)*(E$3&lt;&gt;0)</formula>
    </cfRule>
  </conditionalFormatting>
  <pageMargins left="0.25" right="0.25" top="0.75" bottom="0.75" header="0.3" footer="0.3"/>
  <pageSetup paperSize="9" scale="47" fitToHeight="0" orientation="landscape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FE64F0A-C46C-4024-ABC3-0E3F9D7C5111}">
            <xm:f>MATCH(E$2,DATA!$F$2:$F$30,)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E2:AI27</xm:sqref>
        </x14:conditionalFormatting>
        <x14:conditionalFormatting xmlns:xm="http://schemas.microsoft.com/office/excel/2006/main">
          <x14:cfRule type="expression" priority="12" id="{15B423A8-95F0-4D74-B7F1-A19678146865}">
            <xm:f>MATCH(E$2,DATA!$D$2:$D$30,)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14:cfRule type="expression" priority="14" id="{4DAAE95A-8B3A-430E-AF3E-DAB50A64D1B7}">
            <xm:f>MATCH(E$2,DATA!$C$2:$C$30,)*(WEEKDAY(E$3,2)&gt;5)*(E$3&lt;&gt;0)</xm:f>
            <x14:dxf>
              <font>
                <b/>
                <i val="0"/>
                <color rgb="FFFF0000"/>
              </font>
              <fill>
                <gradientFill>
                  <stop position="0">
                    <color theme="3" tint="0.59999389629810485"/>
                  </stop>
                  <stop position="0.5">
                    <color theme="9" tint="0.59999389629810485"/>
                  </stop>
                  <stop position="1">
                    <color theme="3" tint="0.59999389629810485"/>
                  </stop>
                </gradientFill>
              </fill>
            </x14:dxf>
          </x14:cfRule>
          <x14:cfRule type="expression" priority="15" id="{B14867DB-9492-4453-85D4-1D4B2C5D1DF6}">
            <xm:f>MATCH(E$2,DATA!$C$2:$C$30,)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14:cfRule type="expression" priority="17" id="{262DFED1-16C9-4561-AD93-BC5E3F0D0C79}">
            <xm:f>MATCH(E$2,DATA!$E$2:$E$30,)</xm:f>
            <x14:dxf>
              <fill>
                <patternFill>
                  <bgColor rgb="FF99FF99"/>
                </patternFill>
              </fill>
            </x14:dxf>
          </x14:cfRule>
          <xm:sqref>E2:AI27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EE834A-726E-4A38-8ACE-58F1756B11A0}">
          <x14:formula1>
            <xm:f>DATA!$H$2:$H$15</xm:f>
          </x14:formula1>
          <xm:sqref>B4:B27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Апрель</vt:lpstr>
      <vt:lpstr>Апрель!Область_печати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2024-05-17T05:54:17Z</dcterms:modified>
</cp:coreProperties>
</file>