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!!! Проверки\! Прочие\Форум Эксель\"/>
    </mc:Choice>
  </mc:AlternateContent>
  <bookViews>
    <workbookView xWindow="-120" yWindow="-120" windowWidth="28920" windowHeight="14415" activeTab="3"/>
  </bookViews>
  <sheets>
    <sheet name="2023" sheetId="4" r:id="rId1"/>
    <sheet name="2024" sheetId="5" r:id="rId2"/>
    <sheet name="2025" sheetId="6" r:id="rId3"/>
    <sheet name="2026" sheetId="7" r:id="rId4"/>
  </sheets>
  <definedNames>
    <definedName name="АвгВс1" localSheetId="1">DATEVALUE("1/8/"&amp;'2024'!Год)-WEEKDAY(DATEVALUE("1/8/"&amp;'2024'!Год)-1)+1</definedName>
    <definedName name="АвгВс1" localSheetId="2">DATEVALUE("1/8/"&amp;'2025'!Год)-WEEKDAY(DATEVALUE("1/8/"&amp;'2025'!Год)-1)+1</definedName>
    <definedName name="АвгВс1" localSheetId="3">DATEVALUE("1/8/"&amp;'2026'!Год)-WEEKDAY(DATEVALUE("1/8/"&amp;'2026'!Год)-1)+1</definedName>
    <definedName name="АвгВс1">DATEVALUE("1/8/"&amp;Год)-WEEKDAY(DATEVALUE("1/8/"&amp;Год)-1)+1</definedName>
    <definedName name="АпрВс1" localSheetId="1">DATEVALUE("1/4/"&amp;'2024'!Год)-WEEKDAY(DATEVALUE("1/4/"&amp;'2024'!Год)-1)+1</definedName>
    <definedName name="АпрВс1" localSheetId="2">DATEVALUE("1/4/"&amp;'2025'!Год)-WEEKDAY(DATEVALUE("1/4/"&amp;'2025'!Год)-1)+1</definedName>
    <definedName name="АпрВс1" localSheetId="3">DATEVALUE("1/4/"&amp;'2026'!Год)-WEEKDAY(DATEVALUE("1/4/"&amp;'2026'!Год)-1)+1</definedName>
    <definedName name="АпрВс1">DATEVALUE("1/4/"&amp;Год)-WEEKDAY(DATEVALUE("1/4/"&amp;Год)-1)+1</definedName>
    <definedName name="Год" localSheetId="1">'2024'!$B$2</definedName>
    <definedName name="Год" localSheetId="2">'2025'!$B$2</definedName>
    <definedName name="Год" localSheetId="3">'2026'!$B$2</definedName>
    <definedName name="Год">'2023'!$B$2</definedName>
    <definedName name="ДекВс1" localSheetId="1">DATEVALUE("1/12/"&amp;'2024'!Год)-WEEKDAY(DATEVALUE("1/12/"&amp;'2024'!Год)-1)+1</definedName>
    <definedName name="ДекВс1" localSheetId="2">DATEVALUE("1/12/"&amp;'2025'!Год)-WEEKDAY(DATEVALUE("1/12/"&amp;'2025'!Год)-1)+1</definedName>
    <definedName name="ДекВс1" localSheetId="3">DATEVALUE("1/12/"&amp;'2026'!Год)-WEEKDAY(DATEVALUE("1/12/"&amp;'2026'!Год)-1)+1</definedName>
    <definedName name="ДекВс1">DATEVALUE("1/12/"&amp;Год)-WEEKDAY(DATEVALUE("1/12/"&amp;Год)-1)+1</definedName>
    <definedName name="ИюлВс1" localSheetId="1">DATEVALUE("1/7/"&amp;'2024'!Год)-WEEKDAY(DATEVALUE("1/7/"&amp;'2024'!Год)-1)+1</definedName>
    <definedName name="ИюлВс1" localSheetId="2">DATEVALUE("1/7/"&amp;'2025'!Год)-WEEKDAY(DATEVALUE("1/7/"&amp;'2025'!Год)-1)+1</definedName>
    <definedName name="ИюлВс1" localSheetId="3">DATEVALUE("1/7/"&amp;'2026'!Год)-WEEKDAY(DATEVALUE("1/7/"&amp;'2026'!Год)-1)+1</definedName>
    <definedName name="ИюлВс1">DATEVALUE("1/7/"&amp;Год)-WEEKDAY(DATEVALUE("1/7/"&amp;Год)-1)+1</definedName>
    <definedName name="ИюнВс1" localSheetId="1">DATEVALUE("1/6/"&amp;'2024'!Год)-WEEKDAY(DATEVALUE("1/6/"&amp;'2024'!Год)-1)+1</definedName>
    <definedName name="ИюнВс1" localSheetId="2">DATEVALUE("1/6/"&amp;'2025'!Год)-WEEKDAY(DATEVALUE("1/6/"&amp;'2025'!Год)-1)+1</definedName>
    <definedName name="ИюнВс1" localSheetId="3">DATEVALUE("1/6/"&amp;'2026'!Год)-WEEKDAY(DATEVALUE("1/6/"&amp;'2026'!Год)-1)+1</definedName>
    <definedName name="ИюнВс1">DATEVALUE("1/6/"&amp;Год)-WEEKDAY(DATEVALUE("1/6/"&amp;Год)-1)+1</definedName>
    <definedName name="МайВс1" localSheetId="1">DATEVALUE("1/5/"&amp;'2024'!Год)-WEEKDAY(DATEVALUE("1/5/"&amp;'2024'!Год)-1)+1</definedName>
    <definedName name="МайВс1" localSheetId="2">DATEVALUE("1/5/"&amp;'2025'!Год)-WEEKDAY(DATEVALUE("1/5/"&amp;'2025'!Год)-1)+1</definedName>
    <definedName name="МайВс1" localSheetId="3">DATEVALUE("1/5/"&amp;'2026'!Год)-WEEKDAY(DATEVALUE("1/5/"&amp;'2026'!Год)-1)+1</definedName>
    <definedName name="МайВс1">DATEVALUE("1/5/"&amp;Год)-WEEKDAY(DATEVALUE("1/5/"&amp;Год)-1)+1</definedName>
    <definedName name="МарВс1" localSheetId="1">DATEVALUE("1/3/"&amp;'2024'!Год)-WEEKDAY(DATEVALUE("1/3/"&amp;'2024'!Год)-1)+1</definedName>
    <definedName name="МарВс1" localSheetId="2">DATEVALUE("1/3/"&amp;'2025'!Год)-WEEKDAY(DATEVALUE("1/3/"&amp;'2025'!Год)-1)+1</definedName>
    <definedName name="МарВс1" localSheetId="3">DATEVALUE("1/3/"&amp;'2026'!Год)-WEEKDAY(DATEVALUE("1/3/"&amp;'2026'!Год)-1)+1</definedName>
    <definedName name="МарВс1">DATEVALUE("1/3/"&amp;Год)-WEEKDAY(DATEVALUE("1/3/"&amp;Год)-1)+1</definedName>
    <definedName name="НояВс1" localSheetId="1">DATEVALUE("1/11/"&amp;'2024'!Год)-WEEKDAY(DATEVALUE("1/11/"&amp;'2024'!Год)-1)+1</definedName>
    <definedName name="НояВс1" localSheetId="2">DATEVALUE("1/11/"&amp;'2025'!Год)-WEEKDAY(DATEVALUE("1/11/"&amp;'2025'!Год)-1)+1</definedName>
    <definedName name="НояВс1" localSheetId="3">DATEVALUE("1/11/"&amp;'2026'!Год)-WEEKDAY(DATEVALUE("1/11/"&amp;'2026'!Год)-1)+1</definedName>
    <definedName name="НояВс1">DATEVALUE("1/11/"&amp;Год)-WEEKDAY(DATEVALUE("1/11/"&amp;Год)-1)+1</definedName>
    <definedName name="_xlnm.Print_Area" localSheetId="0">'2023'!$B$2:$AH$31</definedName>
    <definedName name="_xlnm.Print_Area" localSheetId="1">'2024'!$B$2:$AH$31</definedName>
    <definedName name="_xlnm.Print_Area" localSheetId="2">'2025'!$B$2:$AH$31</definedName>
    <definedName name="_xlnm.Print_Area" localSheetId="3">'2026'!$B$2:$AH$31</definedName>
    <definedName name="ОктВс1" localSheetId="1">DATEVALUE("1/10/"&amp;'2024'!Год)-WEEKDAY(DATEVALUE("1/10/"&amp;'2024'!Год)-1)+1</definedName>
    <definedName name="ОктВс1" localSheetId="2">DATEVALUE("1/10/"&amp;'2025'!Год)-WEEKDAY(DATEVALUE("1/10/"&amp;'2025'!Год)-1)+1</definedName>
    <definedName name="ОктВс1" localSheetId="3">DATEVALUE("1/10/"&amp;'2026'!Год)-WEEKDAY(DATEVALUE("1/10/"&amp;'2026'!Год)-1)+1</definedName>
    <definedName name="ОктВс1">DATEVALUE("1/10/"&amp;Год)-WEEKDAY(DATEVALUE("1/10/"&amp;Год)-1)+1</definedName>
    <definedName name="СенВс1" localSheetId="1">DATEVALUE("1/9/"&amp;'2024'!Год)-WEEKDAY(DATEVALUE("1/9/"&amp;'2024'!Год)-1)+1</definedName>
    <definedName name="СенВс1" localSheetId="2">DATEVALUE("1/9/"&amp;'2025'!Год)-WEEKDAY(DATEVALUE("1/9/"&amp;'2025'!Год)-1)+1</definedName>
    <definedName name="СенВс1" localSheetId="3">DATEVALUE("1/9/"&amp;'2026'!Год)-WEEKDAY(DATEVALUE("1/9/"&amp;'2026'!Год)-1)+1</definedName>
    <definedName name="СенВс1">DATEVALUE("1/9/"&amp;Год)-WEEKDAY(DATEVALUE("1/9/"&amp;Год)-1)+1</definedName>
    <definedName name="ФевВс1" localSheetId="1">DATEVALUE("1/2/"&amp;'2024'!Год)-WEEKDAY(DATEVALUE("1/2/"&amp;'2024'!Год)-1)+1</definedName>
    <definedName name="ФевВс1" localSheetId="2">DATEVALUE("1/2/"&amp;'2025'!Год)-WEEKDAY(DATEVALUE("1/2/"&amp;'2025'!Год)-1)+1</definedName>
    <definedName name="ФевВс1" localSheetId="3">DATEVALUE("1/2/"&amp;'2026'!Год)-WEEKDAY(DATEVALUE("1/2/"&amp;'2026'!Год)-1)+1</definedName>
    <definedName name="ФевВс1">DATEVALUE("1/2/"&amp;Год)-WEEKDAY(DATEVALUE("1/2/"&amp;Год)-1)+1</definedName>
    <definedName name="ЯнвВс1" localSheetId="1">DATEVALUE("1/1/"&amp;'2024'!Год)-WEEKDAY(DATEVALUE("1/1/"&amp;'2024'!Год)-1)+1</definedName>
    <definedName name="ЯнвВс1" localSheetId="2">DATEVALUE("1/1/"&amp;'2025'!Год)-WEEKDAY(DATEVALUE("1/1/"&amp;'2025'!Год)-1)+1</definedName>
    <definedName name="ЯнвВс1" localSheetId="3">DATEVALUE("1/1/"&amp;'2026'!Год)-WEEKDAY(DATEVALUE("1/1/"&amp;'2026'!Год)-1)+1</definedName>
    <definedName name="ЯнвВс1">DATEVALUE("1/1/"&amp;Год)-WEEKDAY(DATEVALUE("1/1/"&amp;Год)-1)+1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30" i="7" l="1"/>
  <c r="AF30" i="7"/>
  <c r="AE30" i="7"/>
  <c r="AD30" i="7"/>
  <c r="AC30" i="7"/>
  <c r="AB30" i="7"/>
  <c r="AA30" i="7"/>
  <c r="Y30" i="7"/>
  <c r="X30" i="7"/>
  <c r="W30" i="7"/>
  <c r="V30" i="7"/>
  <c r="U30" i="7"/>
  <c r="T30" i="7"/>
  <c r="S30" i="7"/>
  <c r="Q30" i="7"/>
  <c r="P30" i="7"/>
  <c r="O30" i="7"/>
  <c r="N30" i="7"/>
  <c r="M30" i="7"/>
  <c r="L30" i="7"/>
  <c r="K30" i="7"/>
  <c r="I30" i="7"/>
  <c r="H30" i="7"/>
  <c r="G30" i="7"/>
  <c r="F30" i="7"/>
  <c r="E30" i="7"/>
  <c r="D30" i="7"/>
  <c r="C30" i="7"/>
  <c r="AG29" i="7"/>
  <c r="AF29" i="7"/>
  <c r="AE29" i="7"/>
  <c r="AD29" i="7"/>
  <c r="AC29" i="7"/>
  <c r="AB29" i="7"/>
  <c r="AA29" i="7"/>
  <c r="Y29" i="7"/>
  <c r="X29" i="7"/>
  <c r="W29" i="7"/>
  <c r="V29" i="7"/>
  <c r="U29" i="7"/>
  <c r="T29" i="7"/>
  <c r="S29" i="7"/>
  <c r="Q29" i="7"/>
  <c r="P29" i="7"/>
  <c r="O29" i="7"/>
  <c r="N29" i="7"/>
  <c r="M29" i="7"/>
  <c r="L29" i="7"/>
  <c r="K29" i="7"/>
  <c r="I29" i="7"/>
  <c r="H29" i="7"/>
  <c r="G29" i="7"/>
  <c r="F29" i="7"/>
  <c r="E29" i="7"/>
  <c r="D29" i="7"/>
  <c r="C29" i="7"/>
  <c r="AG28" i="7"/>
  <c r="AF28" i="7"/>
  <c r="AE28" i="7"/>
  <c r="AD28" i="7"/>
  <c r="AC28" i="7"/>
  <c r="AB28" i="7"/>
  <c r="AA28" i="7"/>
  <c r="Y28" i="7"/>
  <c r="X28" i="7"/>
  <c r="W28" i="7"/>
  <c r="V28" i="7"/>
  <c r="U28" i="7"/>
  <c r="T28" i="7"/>
  <c r="S28" i="7"/>
  <c r="Q28" i="7"/>
  <c r="P28" i="7"/>
  <c r="O28" i="7"/>
  <c r="N28" i="7"/>
  <c r="M28" i="7"/>
  <c r="L28" i="7"/>
  <c r="K28" i="7"/>
  <c r="I28" i="7"/>
  <c r="H28" i="7"/>
  <c r="G28" i="7"/>
  <c r="F28" i="7"/>
  <c r="E28" i="7"/>
  <c r="D28" i="7"/>
  <c r="C28" i="7"/>
  <c r="AG27" i="7"/>
  <c r="AF27" i="7"/>
  <c r="AE27" i="7"/>
  <c r="AD27" i="7"/>
  <c r="AC27" i="7"/>
  <c r="AB27" i="7"/>
  <c r="AA27" i="7"/>
  <c r="Y27" i="7"/>
  <c r="X27" i="7"/>
  <c r="W27" i="7"/>
  <c r="V27" i="7"/>
  <c r="U27" i="7"/>
  <c r="T27" i="7"/>
  <c r="S27" i="7"/>
  <c r="Q27" i="7"/>
  <c r="P27" i="7"/>
  <c r="O27" i="7"/>
  <c r="N27" i="7"/>
  <c r="M27" i="7"/>
  <c r="L27" i="7"/>
  <c r="K27" i="7"/>
  <c r="I27" i="7"/>
  <c r="H27" i="7"/>
  <c r="G27" i="7"/>
  <c r="F27" i="7"/>
  <c r="E27" i="7"/>
  <c r="D27" i="7"/>
  <c r="C27" i="7"/>
  <c r="AG26" i="7"/>
  <c r="AF26" i="7"/>
  <c r="AE26" i="7"/>
  <c r="AD26" i="7"/>
  <c r="AC26" i="7"/>
  <c r="AB26" i="7"/>
  <c r="AA26" i="7"/>
  <c r="Y26" i="7"/>
  <c r="X26" i="7"/>
  <c r="W26" i="7"/>
  <c r="V26" i="7"/>
  <c r="U26" i="7"/>
  <c r="T26" i="7"/>
  <c r="S26" i="7"/>
  <c r="Q26" i="7"/>
  <c r="P26" i="7"/>
  <c r="O26" i="7"/>
  <c r="N26" i="7"/>
  <c r="M26" i="7"/>
  <c r="L26" i="7"/>
  <c r="K26" i="7"/>
  <c r="I26" i="7"/>
  <c r="H26" i="7"/>
  <c r="G26" i="7"/>
  <c r="F26" i="7"/>
  <c r="E26" i="7"/>
  <c r="D26" i="7"/>
  <c r="C26" i="7"/>
  <c r="AG25" i="7"/>
  <c r="AF25" i="7"/>
  <c r="AE25" i="7"/>
  <c r="AD25" i="7"/>
  <c r="AC25" i="7"/>
  <c r="AB25" i="7"/>
  <c r="AA25" i="7"/>
  <c r="Y25" i="7"/>
  <c r="X25" i="7"/>
  <c r="W25" i="7"/>
  <c r="V25" i="7"/>
  <c r="U25" i="7"/>
  <c r="T25" i="7"/>
  <c r="S25" i="7"/>
  <c r="Q25" i="7"/>
  <c r="P25" i="7"/>
  <c r="O25" i="7"/>
  <c r="N25" i="7"/>
  <c r="M25" i="7"/>
  <c r="L25" i="7"/>
  <c r="K25" i="7"/>
  <c r="I25" i="7"/>
  <c r="H25" i="7"/>
  <c r="G25" i="7"/>
  <c r="F25" i="7"/>
  <c r="E25" i="7"/>
  <c r="D25" i="7"/>
  <c r="C25" i="7"/>
  <c r="AG21" i="7"/>
  <c r="AF21" i="7"/>
  <c r="AE21" i="7"/>
  <c r="AD21" i="7"/>
  <c r="AC21" i="7"/>
  <c r="AB21" i="7"/>
  <c r="AA21" i="7"/>
  <c r="Y21" i="7"/>
  <c r="X21" i="7"/>
  <c r="W21" i="7"/>
  <c r="V21" i="7"/>
  <c r="U21" i="7"/>
  <c r="T21" i="7"/>
  <c r="S21" i="7"/>
  <c r="Q21" i="7"/>
  <c r="P21" i="7"/>
  <c r="O21" i="7"/>
  <c r="N21" i="7"/>
  <c r="M21" i="7"/>
  <c r="L21" i="7"/>
  <c r="K21" i="7"/>
  <c r="I21" i="7"/>
  <c r="H21" i="7"/>
  <c r="G21" i="7"/>
  <c r="F21" i="7"/>
  <c r="E21" i="7"/>
  <c r="D21" i="7"/>
  <c r="C21" i="7"/>
  <c r="AG20" i="7"/>
  <c r="AF20" i="7"/>
  <c r="AE20" i="7"/>
  <c r="AD20" i="7"/>
  <c r="AC20" i="7"/>
  <c r="AB20" i="7"/>
  <c r="AA20" i="7"/>
  <c r="Y20" i="7"/>
  <c r="X20" i="7"/>
  <c r="W20" i="7"/>
  <c r="V20" i="7"/>
  <c r="U20" i="7"/>
  <c r="T20" i="7"/>
  <c r="S20" i="7"/>
  <c r="Q20" i="7"/>
  <c r="P20" i="7"/>
  <c r="O20" i="7"/>
  <c r="N20" i="7"/>
  <c r="M20" i="7"/>
  <c r="L20" i="7"/>
  <c r="K20" i="7"/>
  <c r="I20" i="7"/>
  <c r="H20" i="7"/>
  <c r="G20" i="7"/>
  <c r="F20" i="7"/>
  <c r="E20" i="7"/>
  <c r="D20" i="7"/>
  <c r="C20" i="7"/>
  <c r="AG19" i="7"/>
  <c r="AF19" i="7"/>
  <c r="AE19" i="7"/>
  <c r="AD19" i="7"/>
  <c r="AC19" i="7"/>
  <c r="AB19" i="7"/>
  <c r="AA19" i="7"/>
  <c r="Y19" i="7"/>
  <c r="X19" i="7"/>
  <c r="W19" i="7"/>
  <c r="V19" i="7"/>
  <c r="U19" i="7"/>
  <c r="T19" i="7"/>
  <c r="S19" i="7"/>
  <c r="Q19" i="7"/>
  <c r="P19" i="7"/>
  <c r="O19" i="7"/>
  <c r="N19" i="7"/>
  <c r="M19" i="7"/>
  <c r="L19" i="7"/>
  <c r="K19" i="7"/>
  <c r="I19" i="7"/>
  <c r="H19" i="7"/>
  <c r="G19" i="7"/>
  <c r="F19" i="7"/>
  <c r="E19" i="7"/>
  <c r="D19" i="7"/>
  <c r="C19" i="7"/>
  <c r="AG18" i="7"/>
  <c r="AF18" i="7"/>
  <c r="AE18" i="7"/>
  <c r="AD18" i="7"/>
  <c r="AC18" i="7"/>
  <c r="AB18" i="7"/>
  <c r="AA18" i="7"/>
  <c r="Y18" i="7"/>
  <c r="X18" i="7"/>
  <c r="W18" i="7"/>
  <c r="V18" i="7"/>
  <c r="U18" i="7"/>
  <c r="T18" i="7"/>
  <c r="S18" i="7"/>
  <c r="Q18" i="7"/>
  <c r="P18" i="7"/>
  <c r="O18" i="7"/>
  <c r="N18" i="7"/>
  <c r="M18" i="7"/>
  <c r="L18" i="7"/>
  <c r="K18" i="7"/>
  <c r="I18" i="7"/>
  <c r="H18" i="7"/>
  <c r="G18" i="7"/>
  <c r="F18" i="7"/>
  <c r="E18" i="7"/>
  <c r="D18" i="7"/>
  <c r="C18" i="7"/>
  <c r="AG17" i="7"/>
  <c r="AF17" i="7"/>
  <c r="AE17" i="7"/>
  <c r="AD17" i="7"/>
  <c r="AC17" i="7"/>
  <c r="AB17" i="7"/>
  <c r="AA17" i="7"/>
  <c r="Y17" i="7"/>
  <c r="X17" i="7"/>
  <c r="W17" i="7"/>
  <c r="V17" i="7"/>
  <c r="U17" i="7"/>
  <c r="T17" i="7"/>
  <c r="S17" i="7"/>
  <c r="Q17" i="7"/>
  <c r="P17" i="7"/>
  <c r="O17" i="7"/>
  <c r="N17" i="7"/>
  <c r="M17" i="7"/>
  <c r="L17" i="7"/>
  <c r="K17" i="7"/>
  <c r="I17" i="7"/>
  <c r="H17" i="7"/>
  <c r="G17" i="7"/>
  <c r="F17" i="7"/>
  <c r="E17" i="7"/>
  <c r="D17" i="7"/>
  <c r="C17" i="7"/>
  <c r="AG16" i="7"/>
  <c r="AF16" i="7"/>
  <c r="AE16" i="7"/>
  <c r="AD16" i="7"/>
  <c r="AC16" i="7"/>
  <c r="AB16" i="7"/>
  <c r="AA16" i="7"/>
  <c r="Y16" i="7"/>
  <c r="X16" i="7"/>
  <c r="W16" i="7"/>
  <c r="V16" i="7"/>
  <c r="U16" i="7"/>
  <c r="T16" i="7"/>
  <c r="S16" i="7"/>
  <c r="Q16" i="7"/>
  <c r="P16" i="7"/>
  <c r="O16" i="7"/>
  <c r="N16" i="7"/>
  <c r="M16" i="7"/>
  <c r="L16" i="7"/>
  <c r="K16" i="7"/>
  <c r="I16" i="7"/>
  <c r="H16" i="7"/>
  <c r="G16" i="7"/>
  <c r="F16" i="7"/>
  <c r="E16" i="7"/>
  <c r="D16" i="7"/>
  <c r="C16" i="7"/>
  <c r="AG12" i="7"/>
  <c r="AF12" i="7"/>
  <c r="AE12" i="7"/>
  <c r="AD12" i="7"/>
  <c r="AC12" i="7"/>
  <c r="AB12" i="7"/>
  <c r="AA12" i="7"/>
  <c r="Y12" i="7"/>
  <c r="X12" i="7"/>
  <c r="W12" i="7"/>
  <c r="V12" i="7"/>
  <c r="U12" i="7"/>
  <c r="T12" i="7"/>
  <c r="S12" i="7"/>
  <c r="Q12" i="7"/>
  <c r="P12" i="7"/>
  <c r="O12" i="7"/>
  <c r="N12" i="7"/>
  <c r="M12" i="7"/>
  <c r="L12" i="7"/>
  <c r="K12" i="7"/>
  <c r="I12" i="7"/>
  <c r="H12" i="7"/>
  <c r="G12" i="7"/>
  <c r="F12" i="7"/>
  <c r="E12" i="7"/>
  <c r="D12" i="7"/>
  <c r="C12" i="7"/>
  <c r="AG11" i="7"/>
  <c r="AF11" i="7"/>
  <c r="AE11" i="7"/>
  <c r="AD11" i="7"/>
  <c r="AC11" i="7"/>
  <c r="AB11" i="7"/>
  <c r="AA11" i="7"/>
  <c r="Y11" i="7"/>
  <c r="X11" i="7"/>
  <c r="W11" i="7"/>
  <c r="V11" i="7"/>
  <c r="U11" i="7"/>
  <c r="T11" i="7"/>
  <c r="S11" i="7"/>
  <c r="Q11" i="7"/>
  <c r="P11" i="7"/>
  <c r="O11" i="7"/>
  <c r="N11" i="7"/>
  <c r="M11" i="7"/>
  <c r="L11" i="7"/>
  <c r="K11" i="7"/>
  <c r="I11" i="7"/>
  <c r="H11" i="7"/>
  <c r="G11" i="7"/>
  <c r="F11" i="7"/>
  <c r="E11" i="7"/>
  <c r="D11" i="7"/>
  <c r="C11" i="7"/>
  <c r="AG10" i="7"/>
  <c r="AF10" i="7"/>
  <c r="AE10" i="7"/>
  <c r="AD10" i="7"/>
  <c r="AC10" i="7"/>
  <c r="AB10" i="7"/>
  <c r="AA10" i="7"/>
  <c r="Y10" i="7"/>
  <c r="X10" i="7"/>
  <c r="W10" i="7"/>
  <c r="V10" i="7"/>
  <c r="U10" i="7"/>
  <c r="T10" i="7"/>
  <c r="S10" i="7"/>
  <c r="Q10" i="7"/>
  <c r="P10" i="7"/>
  <c r="O10" i="7"/>
  <c r="N10" i="7"/>
  <c r="M10" i="7"/>
  <c r="L10" i="7"/>
  <c r="K10" i="7"/>
  <c r="I10" i="7"/>
  <c r="H10" i="7"/>
  <c r="G10" i="7"/>
  <c r="F10" i="7"/>
  <c r="E10" i="7"/>
  <c r="D10" i="7"/>
  <c r="C10" i="7"/>
  <c r="AG9" i="7"/>
  <c r="AF9" i="7"/>
  <c r="AE9" i="7"/>
  <c r="AD9" i="7"/>
  <c r="AC9" i="7"/>
  <c r="AB9" i="7"/>
  <c r="AA9" i="7"/>
  <c r="Y9" i="7"/>
  <c r="X9" i="7"/>
  <c r="W9" i="7"/>
  <c r="V9" i="7"/>
  <c r="U9" i="7"/>
  <c r="T9" i="7"/>
  <c r="S9" i="7"/>
  <c r="Q9" i="7"/>
  <c r="P9" i="7"/>
  <c r="O9" i="7"/>
  <c r="N9" i="7"/>
  <c r="M9" i="7"/>
  <c r="L9" i="7"/>
  <c r="K9" i="7"/>
  <c r="I9" i="7"/>
  <c r="H9" i="7"/>
  <c r="G9" i="7"/>
  <c r="F9" i="7"/>
  <c r="E9" i="7"/>
  <c r="D9" i="7"/>
  <c r="C9" i="7"/>
  <c r="AG8" i="7"/>
  <c r="AF8" i="7"/>
  <c r="AE8" i="7"/>
  <c r="AD8" i="7"/>
  <c r="AC8" i="7"/>
  <c r="AB8" i="7"/>
  <c r="AA8" i="7"/>
  <c r="Y8" i="7"/>
  <c r="X8" i="7"/>
  <c r="W8" i="7"/>
  <c r="V8" i="7"/>
  <c r="U8" i="7"/>
  <c r="T8" i="7"/>
  <c r="S8" i="7"/>
  <c r="Q8" i="7"/>
  <c r="P8" i="7"/>
  <c r="O8" i="7"/>
  <c r="N8" i="7"/>
  <c r="M8" i="7"/>
  <c r="L8" i="7"/>
  <c r="K8" i="7"/>
  <c r="I8" i="7"/>
  <c r="H8" i="7"/>
  <c r="G8" i="7"/>
  <c r="F8" i="7"/>
  <c r="E8" i="7"/>
  <c r="D8" i="7"/>
  <c r="C8" i="7"/>
  <c r="AG7" i="7"/>
  <c r="AF7" i="7"/>
  <c r="AE7" i="7"/>
  <c r="AD7" i="7"/>
  <c r="AC7" i="7"/>
  <c r="AB7" i="7"/>
  <c r="AA7" i="7"/>
  <c r="Y7" i="7"/>
  <c r="X7" i="7"/>
  <c r="W7" i="7"/>
  <c r="V7" i="7"/>
  <c r="U7" i="7"/>
  <c r="T7" i="7"/>
  <c r="S7" i="7"/>
  <c r="Q7" i="7"/>
  <c r="P7" i="7"/>
  <c r="O7" i="7"/>
  <c r="N7" i="7"/>
  <c r="M7" i="7"/>
  <c r="L7" i="7"/>
  <c r="K7" i="7"/>
  <c r="I7" i="7"/>
  <c r="H7" i="7"/>
  <c r="G7" i="7"/>
  <c r="F7" i="7"/>
  <c r="E7" i="7"/>
  <c r="D7" i="7"/>
  <c r="C7" i="7"/>
  <c r="AG30" i="6"/>
  <c r="AF30" i="6"/>
  <c r="AE30" i="6"/>
  <c r="AD30" i="6"/>
  <c r="AC30" i="6"/>
  <c r="AB30" i="6"/>
  <c r="AA30" i="6"/>
  <c r="Y30" i="6"/>
  <c r="X30" i="6"/>
  <c r="W30" i="6"/>
  <c r="V30" i="6"/>
  <c r="U30" i="6"/>
  <c r="T30" i="6"/>
  <c r="S30" i="6"/>
  <c r="Q30" i="6"/>
  <c r="P30" i="6"/>
  <c r="O30" i="6"/>
  <c r="N30" i="6"/>
  <c r="M30" i="6"/>
  <c r="L30" i="6"/>
  <c r="K30" i="6"/>
  <c r="I30" i="6"/>
  <c r="H30" i="6"/>
  <c r="G30" i="6"/>
  <c r="F30" i="6"/>
  <c r="E30" i="6"/>
  <c r="D30" i="6"/>
  <c r="C30" i="6"/>
  <c r="AG29" i="6"/>
  <c r="AF29" i="6"/>
  <c r="AE29" i="6"/>
  <c r="AD29" i="6"/>
  <c r="AC29" i="6"/>
  <c r="AB29" i="6"/>
  <c r="AA29" i="6"/>
  <c r="Y29" i="6"/>
  <c r="X29" i="6"/>
  <c r="W29" i="6"/>
  <c r="V29" i="6"/>
  <c r="U29" i="6"/>
  <c r="T29" i="6"/>
  <c r="S29" i="6"/>
  <c r="Q29" i="6"/>
  <c r="P29" i="6"/>
  <c r="O29" i="6"/>
  <c r="N29" i="6"/>
  <c r="M29" i="6"/>
  <c r="L29" i="6"/>
  <c r="K29" i="6"/>
  <c r="I29" i="6"/>
  <c r="H29" i="6"/>
  <c r="G29" i="6"/>
  <c r="F29" i="6"/>
  <c r="E29" i="6"/>
  <c r="D29" i="6"/>
  <c r="C29" i="6"/>
  <c r="AG28" i="6"/>
  <c r="AF28" i="6"/>
  <c r="AE28" i="6"/>
  <c r="AD28" i="6"/>
  <c r="AC28" i="6"/>
  <c r="AB28" i="6"/>
  <c r="AA28" i="6"/>
  <c r="Y28" i="6"/>
  <c r="X28" i="6"/>
  <c r="W28" i="6"/>
  <c r="V28" i="6"/>
  <c r="U28" i="6"/>
  <c r="T28" i="6"/>
  <c r="S28" i="6"/>
  <c r="Q28" i="6"/>
  <c r="P28" i="6"/>
  <c r="O28" i="6"/>
  <c r="N28" i="6"/>
  <c r="M28" i="6"/>
  <c r="L28" i="6"/>
  <c r="K28" i="6"/>
  <c r="I28" i="6"/>
  <c r="H28" i="6"/>
  <c r="G28" i="6"/>
  <c r="F28" i="6"/>
  <c r="E28" i="6"/>
  <c r="D28" i="6"/>
  <c r="C28" i="6"/>
  <c r="AG27" i="6"/>
  <c r="AF27" i="6"/>
  <c r="AE27" i="6"/>
  <c r="AD27" i="6"/>
  <c r="AC27" i="6"/>
  <c r="AB27" i="6"/>
  <c r="AA27" i="6"/>
  <c r="Y27" i="6"/>
  <c r="X27" i="6"/>
  <c r="W27" i="6"/>
  <c r="V27" i="6"/>
  <c r="U27" i="6"/>
  <c r="T27" i="6"/>
  <c r="S27" i="6"/>
  <c r="Q27" i="6"/>
  <c r="P27" i="6"/>
  <c r="O27" i="6"/>
  <c r="N27" i="6"/>
  <c r="M27" i="6"/>
  <c r="L27" i="6"/>
  <c r="K27" i="6"/>
  <c r="I27" i="6"/>
  <c r="H27" i="6"/>
  <c r="G27" i="6"/>
  <c r="F27" i="6"/>
  <c r="E27" i="6"/>
  <c r="D27" i="6"/>
  <c r="C27" i="6"/>
  <c r="AG26" i="6"/>
  <c r="AF26" i="6"/>
  <c r="AE26" i="6"/>
  <c r="AD26" i="6"/>
  <c r="AC26" i="6"/>
  <c r="AB26" i="6"/>
  <c r="AA26" i="6"/>
  <c r="Y26" i="6"/>
  <c r="X26" i="6"/>
  <c r="W26" i="6"/>
  <c r="V26" i="6"/>
  <c r="U26" i="6"/>
  <c r="T26" i="6"/>
  <c r="S26" i="6"/>
  <c r="Q26" i="6"/>
  <c r="P26" i="6"/>
  <c r="O26" i="6"/>
  <c r="N26" i="6"/>
  <c r="M26" i="6"/>
  <c r="L26" i="6"/>
  <c r="K26" i="6"/>
  <c r="I26" i="6"/>
  <c r="H26" i="6"/>
  <c r="G26" i="6"/>
  <c r="F26" i="6"/>
  <c r="E26" i="6"/>
  <c r="D26" i="6"/>
  <c r="C26" i="6"/>
  <c r="AG25" i="6"/>
  <c r="AF25" i="6"/>
  <c r="AE25" i="6"/>
  <c r="AD25" i="6"/>
  <c r="AC25" i="6"/>
  <c r="AB25" i="6"/>
  <c r="AA25" i="6"/>
  <c r="Y25" i="6"/>
  <c r="X25" i="6"/>
  <c r="W25" i="6"/>
  <c r="V25" i="6"/>
  <c r="U25" i="6"/>
  <c r="T25" i="6"/>
  <c r="S25" i="6"/>
  <c r="Q25" i="6"/>
  <c r="P25" i="6"/>
  <c r="O25" i="6"/>
  <c r="N25" i="6"/>
  <c r="M25" i="6"/>
  <c r="L25" i="6"/>
  <c r="K25" i="6"/>
  <c r="I25" i="6"/>
  <c r="H25" i="6"/>
  <c r="G25" i="6"/>
  <c r="F25" i="6"/>
  <c r="E25" i="6"/>
  <c r="D25" i="6"/>
  <c r="C25" i="6"/>
  <c r="AG21" i="6"/>
  <c r="AF21" i="6"/>
  <c r="AE21" i="6"/>
  <c r="AD21" i="6"/>
  <c r="AC21" i="6"/>
  <c r="AB21" i="6"/>
  <c r="AA21" i="6"/>
  <c r="Y21" i="6"/>
  <c r="X21" i="6"/>
  <c r="W21" i="6"/>
  <c r="V21" i="6"/>
  <c r="U21" i="6"/>
  <c r="T21" i="6"/>
  <c r="S21" i="6"/>
  <c r="Q21" i="6"/>
  <c r="P21" i="6"/>
  <c r="O21" i="6"/>
  <c r="N21" i="6"/>
  <c r="M21" i="6"/>
  <c r="L21" i="6"/>
  <c r="K21" i="6"/>
  <c r="I21" i="6"/>
  <c r="H21" i="6"/>
  <c r="G21" i="6"/>
  <c r="F21" i="6"/>
  <c r="E21" i="6"/>
  <c r="D21" i="6"/>
  <c r="C21" i="6"/>
  <c r="AG20" i="6"/>
  <c r="AF20" i="6"/>
  <c r="AE20" i="6"/>
  <c r="AD20" i="6"/>
  <c r="AC20" i="6"/>
  <c r="AB20" i="6"/>
  <c r="AA20" i="6"/>
  <c r="Y20" i="6"/>
  <c r="X20" i="6"/>
  <c r="W20" i="6"/>
  <c r="V20" i="6"/>
  <c r="U20" i="6"/>
  <c r="T20" i="6"/>
  <c r="S20" i="6"/>
  <c r="Q20" i="6"/>
  <c r="P20" i="6"/>
  <c r="O20" i="6"/>
  <c r="N20" i="6"/>
  <c r="M20" i="6"/>
  <c r="L20" i="6"/>
  <c r="K20" i="6"/>
  <c r="I20" i="6"/>
  <c r="H20" i="6"/>
  <c r="G20" i="6"/>
  <c r="F20" i="6"/>
  <c r="E20" i="6"/>
  <c r="D20" i="6"/>
  <c r="C20" i="6"/>
  <c r="AG19" i="6"/>
  <c r="AF19" i="6"/>
  <c r="AE19" i="6"/>
  <c r="AD19" i="6"/>
  <c r="AC19" i="6"/>
  <c r="AB19" i="6"/>
  <c r="AA19" i="6"/>
  <c r="Y19" i="6"/>
  <c r="X19" i="6"/>
  <c r="W19" i="6"/>
  <c r="V19" i="6"/>
  <c r="U19" i="6"/>
  <c r="T19" i="6"/>
  <c r="S19" i="6"/>
  <c r="Q19" i="6"/>
  <c r="P19" i="6"/>
  <c r="O19" i="6"/>
  <c r="N19" i="6"/>
  <c r="M19" i="6"/>
  <c r="L19" i="6"/>
  <c r="K19" i="6"/>
  <c r="I19" i="6"/>
  <c r="H19" i="6"/>
  <c r="G19" i="6"/>
  <c r="F19" i="6"/>
  <c r="E19" i="6"/>
  <c r="D19" i="6"/>
  <c r="C19" i="6"/>
  <c r="AG18" i="6"/>
  <c r="AF18" i="6"/>
  <c r="AE18" i="6"/>
  <c r="AD18" i="6"/>
  <c r="AC18" i="6"/>
  <c r="AB18" i="6"/>
  <c r="AA18" i="6"/>
  <c r="Y18" i="6"/>
  <c r="X18" i="6"/>
  <c r="W18" i="6"/>
  <c r="V18" i="6"/>
  <c r="U18" i="6"/>
  <c r="T18" i="6"/>
  <c r="S18" i="6"/>
  <c r="Q18" i="6"/>
  <c r="P18" i="6"/>
  <c r="O18" i="6"/>
  <c r="N18" i="6"/>
  <c r="M18" i="6"/>
  <c r="L18" i="6"/>
  <c r="K18" i="6"/>
  <c r="I18" i="6"/>
  <c r="H18" i="6"/>
  <c r="G18" i="6"/>
  <c r="F18" i="6"/>
  <c r="E18" i="6"/>
  <c r="D18" i="6"/>
  <c r="C18" i="6"/>
  <c r="AG17" i="6"/>
  <c r="AF17" i="6"/>
  <c r="AE17" i="6"/>
  <c r="AD17" i="6"/>
  <c r="AC17" i="6"/>
  <c r="AB17" i="6"/>
  <c r="AA17" i="6"/>
  <c r="Y17" i="6"/>
  <c r="X17" i="6"/>
  <c r="W17" i="6"/>
  <c r="V17" i="6"/>
  <c r="U17" i="6"/>
  <c r="T17" i="6"/>
  <c r="S17" i="6"/>
  <c r="Q17" i="6"/>
  <c r="P17" i="6"/>
  <c r="O17" i="6"/>
  <c r="N17" i="6"/>
  <c r="M17" i="6"/>
  <c r="L17" i="6"/>
  <c r="K17" i="6"/>
  <c r="I17" i="6"/>
  <c r="H17" i="6"/>
  <c r="G17" i="6"/>
  <c r="F17" i="6"/>
  <c r="E17" i="6"/>
  <c r="D17" i="6"/>
  <c r="C17" i="6"/>
  <c r="AG16" i="6"/>
  <c r="AF16" i="6"/>
  <c r="AE16" i="6"/>
  <c r="AD16" i="6"/>
  <c r="AC16" i="6"/>
  <c r="AB16" i="6"/>
  <c r="AA16" i="6"/>
  <c r="Y16" i="6"/>
  <c r="X16" i="6"/>
  <c r="W16" i="6"/>
  <c r="V16" i="6"/>
  <c r="U16" i="6"/>
  <c r="T16" i="6"/>
  <c r="S16" i="6"/>
  <c r="Q16" i="6"/>
  <c r="P16" i="6"/>
  <c r="O16" i="6"/>
  <c r="N16" i="6"/>
  <c r="M16" i="6"/>
  <c r="L16" i="6"/>
  <c r="K16" i="6"/>
  <c r="I16" i="6"/>
  <c r="H16" i="6"/>
  <c r="G16" i="6"/>
  <c r="F16" i="6"/>
  <c r="E16" i="6"/>
  <c r="D16" i="6"/>
  <c r="C16" i="6"/>
  <c r="AG12" i="6"/>
  <c r="AF12" i="6"/>
  <c r="AE12" i="6"/>
  <c r="AD12" i="6"/>
  <c r="AC12" i="6"/>
  <c r="AB12" i="6"/>
  <c r="AA12" i="6"/>
  <c r="Y12" i="6"/>
  <c r="X12" i="6"/>
  <c r="W12" i="6"/>
  <c r="V12" i="6"/>
  <c r="U12" i="6"/>
  <c r="T12" i="6"/>
  <c r="S12" i="6"/>
  <c r="Q12" i="6"/>
  <c r="P12" i="6"/>
  <c r="O12" i="6"/>
  <c r="N12" i="6"/>
  <c r="M12" i="6"/>
  <c r="L12" i="6"/>
  <c r="K12" i="6"/>
  <c r="I12" i="6"/>
  <c r="H12" i="6"/>
  <c r="G12" i="6"/>
  <c r="F12" i="6"/>
  <c r="E12" i="6"/>
  <c r="D12" i="6"/>
  <c r="C12" i="6"/>
  <c r="AG11" i="6"/>
  <c r="AF11" i="6"/>
  <c r="AE11" i="6"/>
  <c r="AD11" i="6"/>
  <c r="AC11" i="6"/>
  <c r="AB11" i="6"/>
  <c r="AA11" i="6"/>
  <c r="Y11" i="6"/>
  <c r="X11" i="6"/>
  <c r="W11" i="6"/>
  <c r="V11" i="6"/>
  <c r="U11" i="6"/>
  <c r="T11" i="6"/>
  <c r="S11" i="6"/>
  <c r="Q11" i="6"/>
  <c r="P11" i="6"/>
  <c r="O11" i="6"/>
  <c r="N11" i="6"/>
  <c r="M11" i="6"/>
  <c r="L11" i="6"/>
  <c r="K11" i="6"/>
  <c r="I11" i="6"/>
  <c r="H11" i="6"/>
  <c r="G11" i="6"/>
  <c r="F11" i="6"/>
  <c r="E11" i="6"/>
  <c r="D11" i="6"/>
  <c r="C11" i="6"/>
  <c r="AG10" i="6"/>
  <c r="AF10" i="6"/>
  <c r="AE10" i="6"/>
  <c r="AD10" i="6"/>
  <c r="AC10" i="6"/>
  <c r="AB10" i="6"/>
  <c r="AA10" i="6"/>
  <c r="Y10" i="6"/>
  <c r="X10" i="6"/>
  <c r="W10" i="6"/>
  <c r="V10" i="6"/>
  <c r="U10" i="6"/>
  <c r="T10" i="6"/>
  <c r="S10" i="6"/>
  <c r="Q10" i="6"/>
  <c r="P10" i="6"/>
  <c r="O10" i="6"/>
  <c r="N10" i="6"/>
  <c r="M10" i="6"/>
  <c r="L10" i="6"/>
  <c r="K10" i="6"/>
  <c r="I10" i="6"/>
  <c r="H10" i="6"/>
  <c r="G10" i="6"/>
  <c r="F10" i="6"/>
  <c r="E10" i="6"/>
  <c r="D10" i="6"/>
  <c r="C10" i="6"/>
  <c r="AG9" i="6"/>
  <c r="AF9" i="6"/>
  <c r="AE9" i="6"/>
  <c r="AD9" i="6"/>
  <c r="AC9" i="6"/>
  <c r="AB9" i="6"/>
  <c r="AA9" i="6"/>
  <c r="Y9" i="6"/>
  <c r="X9" i="6"/>
  <c r="W9" i="6"/>
  <c r="V9" i="6"/>
  <c r="U9" i="6"/>
  <c r="T9" i="6"/>
  <c r="S9" i="6"/>
  <c r="Q9" i="6"/>
  <c r="P9" i="6"/>
  <c r="O9" i="6"/>
  <c r="N9" i="6"/>
  <c r="M9" i="6"/>
  <c r="L9" i="6"/>
  <c r="K9" i="6"/>
  <c r="I9" i="6"/>
  <c r="H9" i="6"/>
  <c r="G9" i="6"/>
  <c r="F9" i="6"/>
  <c r="E9" i="6"/>
  <c r="D9" i="6"/>
  <c r="C9" i="6"/>
  <c r="AG8" i="6"/>
  <c r="AF8" i="6"/>
  <c r="AE8" i="6"/>
  <c r="AD8" i="6"/>
  <c r="AC8" i="6"/>
  <c r="AB8" i="6"/>
  <c r="AA8" i="6"/>
  <c r="Y8" i="6"/>
  <c r="X8" i="6"/>
  <c r="W8" i="6"/>
  <c r="V8" i="6"/>
  <c r="U8" i="6"/>
  <c r="T8" i="6"/>
  <c r="S8" i="6"/>
  <c r="Q8" i="6"/>
  <c r="P8" i="6"/>
  <c r="O8" i="6"/>
  <c r="N8" i="6"/>
  <c r="M8" i="6"/>
  <c r="L8" i="6"/>
  <c r="K8" i="6"/>
  <c r="I8" i="6"/>
  <c r="H8" i="6"/>
  <c r="G8" i="6"/>
  <c r="F8" i="6"/>
  <c r="E8" i="6"/>
  <c r="D8" i="6"/>
  <c r="C8" i="6"/>
  <c r="AG7" i="6"/>
  <c r="AF7" i="6"/>
  <c r="AE7" i="6"/>
  <c r="AD7" i="6"/>
  <c r="AC7" i="6"/>
  <c r="AB7" i="6"/>
  <c r="AA7" i="6"/>
  <c r="Y7" i="6"/>
  <c r="X7" i="6"/>
  <c r="W7" i="6"/>
  <c r="V7" i="6"/>
  <c r="U7" i="6"/>
  <c r="T7" i="6"/>
  <c r="S7" i="6"/>
  <c r="Q7" i="6"/>
  <c r="P7" i="6"/>
  <c r="O7" i="6"/>
  <c r="N7" i="6"/>
  <c r="M7" i="6"/>
  <c r="L7" i="6"/>
  <c r="K7" i="6"/>
  <c r="I7" i="6"/>
  <c r="H7" i="6"/>
  <c r="G7" i="6"/>
  <c r="F7" i="6"/>
  <c r="E7" i="6"/>
  <c r="D7" i="6"/>
  <c r="C7" i="6"/>
  <c r="AG30" i="5"/>
  <c r="AF30" i="5"/>
  <c r="AE30" i="5"/>
  <c r="AD30" i="5"/>
  <c r="AC30" i="5"/>
  <c r="AB30" i="5"/>
  <c r="AA30" i="5"/>
  <c r="Y30" i="5"/>
  <c r="X30" i="5"/>
  <c r="W30" i="5"/>
  <c r="V30" i="5"/>
  <c r="U30" i="5"/>
  <c r="T30" i="5"/>
  <c r="S30" i="5"/>
  <c r="Q30" i="5"/>
  <c r="P30" i="5"/>
  <c r="O30" i="5"/>
  <c r="N30" i="5"/>
  <c r="M30" i="5"/>
  <c r="L30" i="5"/>
  <c r="K30" i="5"/>
  <c r="I30" i="5"/>
  <c r="H30" i="5"/>
  <c r="G30" i="5"/>
  <c r="F30" i="5"/>
  <c r="E30" i="5"/>
  <c r="D30" i="5"/>
  <c r="C30" i="5"/>
  <c r="AG29" i="5"/>
  <c r="AF29" i="5"/>
  <c r="AE29" i="5"/>
  <c r="AD29" i="5"/>
  <c r="AC29" i="5"/>
  <c r="AB29" i="5"/>
  <c r="AA29" i="5"/>
  <c r="Y29" i="5"/>
  <c r="X29" i="5"/>
  <c r="W29" i="5"/>
  <c r="V29" i="5"/>
  <c r="U29" i="5"/>
  <c r="T29" i="5"/>
  <c r="S29" i="5"/>
  <c r="Q29" i="5"/>
  <c r="P29" i="5"/>
  <c r="O29" i="5"/>
  <c r="N29" i="5"/>
  <c r="M29" i="5"/>
  <c r="L29" i="5"/>
  <c r="K29" i="5"/>
  <c r="I29" i="5"/>
  <c r="H29" i="5"/>
  <c r="G29" i="5"/>
  <c r="F29" i="5"/>
  <c r="E29" i="5"/>
  <c r="D29" i="5"/>
  <c r="C29" i="5"/>
  <c r="AG28" i="5"/>
  <c r="AF28" i="5"/>
  <c r="AE28" i="5"/>
  <c r="AD28" i="5"/>
  <c r="AC28" i="5"/>
  <c r="AB28" i="5"/>
  <c r="AA28" i="5"/>
  <c r="Y28" i="5"/>
  <c r="X28" i="5"/>
  <c r="W28" i="5"/>
  <c r="V28" i="5"/>
  <c r="U28" i="5"/>
  <c r="T28" i="5"/>
  <c r="S28" i="5"/>
  <c r="Q28" i="5"/>
  <c r="P28" i="5"/>
  <c r="O28" i="5"/>
  <c r="N28" i="5"/>
  <c r="M28" i="5"/>
  <c r="L28" i="5"/>
  <c r="K28" i="5"/>
  <c r="I28" i="5"/>
  <c r="H28" i="5"/>
  <c r="G28" i="5"/>
  <c r="F28" i="5"/>
  <c r="E28" i="5"/>
  <c r="D28" i="5"/>
  <c r="C28" i="5"/>
  <c r="AG27" i="5"/>
  <c r="AF27" i="5"/>
  <c r="AE27" i="5"/>
  <c r="AD27" i="5"/>
  <c r="AC27" i="5"/>
  <c r="AB27" i="5"/>
  <c r="AA27" i="5"/>
  <c r="Y27" i="5"/>
  <c r="X27" i="5"/>
  <c r="W27" i="5"/>
  <c r="V27" i="5"/>
  <c r="U27" i="5"/>
  <c r="T27" i="5"/>
  <c r="S27" i="5"/>
  <c r="Q27" i="5"/>
  <c r="P27" i="5"/>
  <c r="O27" i="5"/>
  <c r="N27" i="5"/>
  <c r="M27" i="5"/>
  <c r="L27" i="5"/>
  <c r="K27" i="5"/>
  <c r="I27" i="5"/>
  <c r="H27" i="5"/>
  <c r="G27" i="5"/>
  <c r="F27" i="5"/>
  <c r="E27" i="5"/>
  <c r="D27" i="5"/>
  <c r="C27" i="5"/>
  <c r="AG26" i="5"/>
  <c r="AF26" i="5"/>
  <c r="AE26" i="5"/>
  <c r="AD26" i="5"/>
  <c r="AC26" i="5"/>
  <c r="AB26" i="5"/>
  <c r="AA26" i="5"/>
  <c r="Y26" i="5"/>
  <c r="X26" i="5"/>
  <c r="W26" i="5"/>
  <c r="V26" i="5"/>
  <c r="U26" i="5"/>
  <c r="T26" i="5"/>
  <c r="S26" i="5"/>
  <c r="Q26" i="5"/>
  <c r="P26" i="5"/>
  <c r="O26" i="5"/>
  <c r="N26" i="5"/>
  <c r="M26" i="5"/>
  <c r="L26" i="5"/>
  <c r="K26" i="5"/>
  <c r="I26" i="5"/>
  <c r="H26" i="5"/>
  <c r="G26" i="5"/>
  <c r="F26" i="5"/>
  <c r="E26" i="5"/>
  <c r="D26" i="5"/>
  <c r="C26" i="5"/>
  <c r="AG25" i="5"/>
  <c r="AF25" i="5"/>
  <c r="AE25" i="5"/>
  <c r="AD25" i="5"/>
  <c r="AC25" i="5"/>
  <c r="AB25" i="5"/>
  <c r="AA25" i="5"/>
  <c r="Y25" i="5"/>
  <c r="X25" i="5"/>
  <c r="W25" i="5"/>
  <c r="V25" i="5"/>
  <c r="U25" i="5"/>
  <c r="T25" i="5"/>
  <c r="S25" i="5"/>
  <c r="Q25" i="5"/>
  <c r="P25" i="5"/>
  <c r="O25" i="5"/>
  <c r="N25" i="5"/>
  <c r="M25" i="5"/>
  <c r="L25" i="5"/>
  <c r="K25" i="5"/>
  <c r="I25" i="5"/>
  <c r="H25" i="5"/>
  <c r="G25" i="5"/>
  <c r="F25" i="5"/>
  <c r="E25" i="5"/>
  <c r="D25" i="5"/>
  <c r="C25" i="5"/>
  <c r="AG21" i="5"/>
  <c r="AF21" i="5"/>
  <c r="AE21" i="5"/>
  <c r="AD21" i="5"/>
  <c r="AC21" i="5"/>
  <c r="AB21" i="5"/>
  <c r="AA21" i="5"/>
  <c r="Y21" i="5"/>
  <c r="X21" i="5"/>
  <c r="W21" i="5"/>
  <c r="V21" i="5"/>
  <c r="U21" i="5"/>
  <c r="T21" i="5"/>
  <c r="S21" i="5"/>
  <c r="Q21" i="5"/>
  <c r="P21" i="5"/>
  <c r="O21" i="5"/>
  <c r="N21" i="5"/>
  <c r="M21" i="5"/>
  <c r="L21" i="5"/>
  <c r="K21" i="5"/>
  <c r="I21" i="5"/>
  <c r="H21" i="5"/>
  <c r="G21" i="5"/>
  <c r="F21" i="5"/>
  <c r="E21" i="5"/>
  <c r="D21" i="5"/>
  <c r="C21" i="5"/>
  <c r="AG20" i="5"/>
  <c r="AF20" i="5"/>
  <c r="AE20" i="5"/>
  <c r="AD20" i="5"/>
  <c r="AC20" i="5"/>
  <c r="AB20" i="5"/>
  <c r="AA20" i="5"/>
  <c r="Y20" i="5"/>
  <c r="X20" i="5"/>
  <c r="W20" i="5"/>
  <c r="V20" i="5"/>
  <c r="U20" i="5"/>
  <c r="T20" i="5"/>
  <c r="S20" i="5"/>
  <c r="Q20" i="5"/>
  <c r="P20" i="5"/>
  <c r="O20" i="5"/>
  <c r="N20" i="5"/>
  <c r="M20" i="5"/>
  <c r="L20" i="5"/>
  <c r="K20" i="5"/>
  <c r="I20" i="5"/>
  <c r="H20" i="5"/>
  <c r="G20" i="5"/>
  <c r="F20" i="5"/>
  <c r="E20" i="5"/>
  <c r="D20" i="5"/>
  <c r="C20" i="5"/>
  <c r="AG19" i="5"/>
  <c r="AF19" i="5"/>
  <c r="AE19" i="5"/>
  <c r="AD19" i="5"/>
  <c r="AC19" i="5"/>
  <c r="AB19" i="5"/>
  <c r="AA19" i="5"/>
  <c r="Y19" i="5"/>
  <c r="X19" i="5"/>
  <c r="W19" i="5"/>
  <c r="V19" i="5"/>
  <c r="U19" i="5"/>
  <c r="T19" i="5"/>
  <c r="S19" i="5"/>
  <c r="Q19" i="5"/>
  <c r="P19" i="5"/>
  <c r="O19" i="5"/>
  <c r="N19" i="5"/>
  <c r="M19" i="5"/>
  <c r="L19" i="5"/>
  <c r="K19" i="5"/>
  <c r="I19" i="5"/>
  <c r="H19" i="5"/>
  <c r="G19" i="5"/>
  <c r="F19" i="5"/>
  <c r="E19" i="5"/>
  <c r="D19" i="5"/>
  <c r="C19" i="5"/>
  <c r="AG18" i="5"/>
  <c r="AF18" i="5"/>
  <c r="AE18" i="5"/>
  <c r="AD18" i="5"/>
  <c r="AC18" i="5"/>
  <c r="AB18" i="5"/>
  <c r="AA18" i="5"/>
  <c r="Y18" i="5"/>
  <c r="X18" i="5"/>
  <c r="W18" i="5"/>
  <c r="V18" i="5"/>
  <c r="U18" i="5"/>
  <c r="T18" i="5"/>
  <c r="S18" i="5"/>
  <c r="Q18" i="5"/>
  <c r="P18" i="5"/>
  <c r="O18" i="5"/>
  <c r="N18" i="5"/>
  <c r="M18" i="5"/>
  <c r="L18" i="5"/>
  <c r="K18" i="5"/>
  <c r="I18" i="5"/>
  <c r="H18" i="5"/>
  <c r="G18" i="5"/>
  <c r="F18" i="5"/>
  <c r="E18" i="5"/>
  <c r="D18" i="5"/>
  <c r="C18" i="5"/>
  <c r="AG17" i="5"/>
  <c r="AF17" i="5"/>
  <c r="AE17" i="5"/>
  <c r="AD17" i="5"/>
  <c r="AC17" i="5"/>
  <c r="AB17" i="5"/>
  <c r="AA17" i="5"/>
  <c r="Y17" i="5"/>
  <c r="X17" i="5"/>
  <c r="W17" i="5"/>
  <c r="V17" i="5"/>
  <c r="U17" i="5"/>
  <c r="T17" i="5"/>
  <c r="S17" i="5"/>
  <c r="Q17" i="5"/>
  <c r="P17" i="5"/>
  <c r="O17" i="5"/>
  <c r="N17" i="5"/>
  <c r="M17" i="5"/>
  <c r="L17" i="5"/>
  <c r="K17" i="5"/>
  <c r="I17" i="5"/>
  <c r="H17" i="5"/>
  <c r="G17" i="5"/>
  <c r="F17" i="5"/>
  <c r="E17" i="5"/>
  <c r="D17" i="5"/>
  <c r="C17" i="5"/>
  <c r="AG16" i="5"/>
  <c r="AF16" i="5"/>
  <c r="AE16" i="5"/>
  <c r="AD16" i="5"/>
  <c r="AC16" i="5"/>
  <c r="AB16" i="5"/>
  <c r="AA16" i="5"/>
  <c r="Y16" i="5"/>
  <c r="X16" i="5"/>
  <c r="W16" i="5"/>
  <c r="V16" i="5"/>
  <c r="U16" i="5"/>
  <c r="T16" i="5"/>
  <c r="S16" i="5"/>
  <c r="Q16" i="5"/>
  <c r="P16" i="5"/>
  <c r="O16" i="5"/>
  <c r="N16" i="5"/>
  <c r="M16" i="5"/>
  <c r="L16" i="5"/>
  <c r="K16" i="5"/>
  <c r="I16" i="5"/>
  <c r="H16" i="5"/>
  <c r="G16" i="5"/>
  <c r="F16" i="5"/>
  <c r="E16" i="5"/>
  <c r="D16" i="5"/>
  <c r="C16" i="5"/>
  <c r="AG12" i="5"/>
  <c r="AF12" i="5"/>
  <c r="AE12" i="5"/>
  <c r="AD12" i="5"/>
  <c r="AC12" i="5"/>
  <c r="AB12" i="5"/>
  <c r="AA12" i="5"/>
  <c r="Y12" i="5"/>
  <c r="X12" i="5"/>
  <c r="W12" i="5"/>
  <c r="V12" i="5"/>
  <c r="U12" i="5"/>
  <c r="T12" i="5"/>
  <c r="S12" i="5"/>
  <c r="Q12" i="5"/>
  <c r="P12" i="5"/>
  <c r="O12" i="5"/>
  <c r="N12" i="5"/>
  <c r="M12" i="5"/>
  <c r="L12" i="5"/>
  <c r="K12" i="5"/>
  <c r="I12" i="5"/>
  <c r="H12" i="5"/>
  <c r="G12" i="5"/>
  <c r="F12" i="5"/>
  <c r="E12" i="5"/>
  <c r="D12" i="5"/>
  <c r="C12" i="5"/>
  <c r="AG11" i="5"/>
  <c r="AF11" i="5"/>
  <c r="AE11" i="5"/>
  <c r="AD11" i="5"/>
  <c r="AC11" i="5"/>
  <c r="AB11" i="5"/>
  <c r="AA11" i="5"/>
  <c r="Y11" i="5"/>
  <c r="X11" i="5"/>
  <c r="W11" i="5"/>
  <c r="V11" i="5"/>
  <c r="U11" i="5"/>
  <c r="T11" i="5"/>
  <c r="S11" i="5"/>
  <c r="Q11" i="5"/>
  <c r="P11" i="5"/>
  <c r="O11" i="5"/>
  <c r="N11" i="5"/>
  <c r="M11" i="5"/>
  <c r="L11" i="5"/>
  <c r="K11" i="5"/>
  <c r="I11" i="5"/>
  <c r="H11" i="5"/>
  <c r="G11" i="5"/>
  <c r="F11" i="5"/>
  <c r="E11" i="5"/>
  <c r="D11" i="5"/>
  <c r="C11" i="5"/>
  <c r="AG10" i="5"/>
  <c r="AF10" i="5"/>
  <c r="AE10" i="5"/>
  <c r="AD10" i="5"/>
  <c r="AC10" i="5"/>
  <c r="AB10" i="5"/>
  <c r="AA10" i="5"/>
  <c r="Y10" i="5"/>
  <c r="X10" i="5"/>
  <c r="W10" i="5"/>
  <c r="V10" i="5"/>
  <c r="U10" i="5"/>
  <c r="T10" i="5"/>
  <c r="S10" i="5"/>
  <c r="Q10" i="5"/>
  <c r="P10" i="5"/>
  <c r="O10" i="5"/>
  <c r="N10" i="5"/>
  <c r="M10" i="5"/>
  <c r="L10" i="5"/>
  <c r="K10" i="5"/>
  <c r="I10" i="5"/>
  <c r="H10" i="5"/>
  <c r="G10" i="5"/>
  <c r="F10" i="5"/>
  <c r="E10" i="5"/>
  <c r="D10" i="5"/>
  <c r="C10" i="5"/>
  <c r="AG9" i="5"/>
  <c r="AF9" i="5"/>
  <c r="AE9" i="5"/>
  <c r="AD9" i="5"/>
  <c r="AC9" i="5"/>
  <c r="AB9" i="5"/>
  <c r="AA9" i="5"/>
  <c r="Y9" i="5"/>
  <c r="X9" i="5"/>
  <c r="W9" i="5"/>
  <c r="V9" i="5"/>
  <c r="U9" i="5"/>
  <c r="T9" i="5"/>
  <c r="S9" i="5"/>
  <c r="Q9" i="5"/>
  <c r="P9" i="5"/>
  <c r="O9" i="5"/>
  <c r="N9" i="5"/>
  <c r="M9" i="5"/>
  <c r="L9" i="5"/>
  <c r="K9" i="5"/>
  <c r="I9" i="5"/>
  <c r="H9" i="5"/>
  <c r="G9" i="5"/>
  <c r="F9" i="5"/>
  <c r="E9" i="5"/>
  <c r="D9" i="5"/>
  <c r="C9" i="5"/>
  <c r="AG8" i="5"/>
  <c r="AF8" i="5"/>
  <c r="AE8" i="5"/>
  <c r="AD8" i="5"/>
  <c r="AC8" i="5"/>
  <c r="AB8" i="5"/>
  <c r="AA8" i="5"/>
  <c r="Y8" i="5"/>
  <c r="X8" i="5"/>
  <c r="W8" i="5"/>
  <c r="V8" i="5"/>
  <c r="U8" i="5"/>
  <c r="T8" i="5"/>
  <c r="S8" i="5"/>
  <c r="Q8" i="5"/>
  <c r="P8" i="5"/>
  <c r="O8" i="5"/>
  <c r="N8" i="5"/>
  <c r="M8" i="5"/>
  <c r="L8" i="5"/>
  <c r="K8" i="5"/>
  <c r="I8" i="5"/>
  <c r="H8" i="5"/>
  <c r="G8" i="5"/>
  <c r="F8" i="5"/>
  <c r="E8" i="5"/>
  <c r="D8" i="5"/>
  <c r="C8" i="5"/>
  <c r="AG7" i="5"/>
  <c r="AF7" i="5"/>
  <c r="AE7" i="5"/>
  <c r="AD7" i="5"/>
  <c r="AC7" i="5"/>
  <c r="AB7" i="5"/>
  <c r="AA7" i="5"/>
  <c r="Y7" i="5"/>
  <c r="X7" i="5"/>
  <c r="W7" i="5"/>
  <c r="V7" i="5"/>
  <c r="U7" i="5"/>
  <c r="T7" i="5"/>
  <c r="S7" i="5"/>
  <c r="Q7" i="5"/>
  <c r="P7" i="5"/>
  <c r="O7" i="5"/>
  <c r="N7" i="5"/>
  <c r="M7" i="5"/>
  <c r="L7" i="5"/>
  <c r="K7" i="5"/>
  <c r="I7" i="5"/>
  <c r="H7" i="5"/>
  <c r="G7" i="5"/>
  <c r="F7" i="5"/>
  <c r="E7" i="5"/>
  <c r="D7" i="5"/>
  <c r="C7" i="5"/>
  <c r="C30" i="4" l="1"/>
  <c r="O7" i="4"/>
  <c r="C7" i="4"/>
  <c r="AG30" i="4" l="1"/>
  <c r="AF30" i="4"/>
  <c r="AE30" i="4"/>
  <c r="AD30" i="4"/>
  <c r="AC30" i="4"/>
  <c r="AB30" i="4"/>
  <c r="AA30" i="4"/>
  <c r="Y30" i="4"/>
  <c r="X30" i="4"/>
  <c r="W30" i="4"/>
  <c r="V30" i="4"/>
  <c r="U30" i="4"/>
  <c r="T30" i="4"/>
  <c r="S30" i="4"/>
  <c r="Q30" i="4"/>
  <c r="P30" i="4"/>
  <c r="O30" i="4"/>
  <c r="N30" i="4"/>
  <c r="M30" i="4"/>
  <c r="L30" i="4"/>
  <c r="K30" i="4"/>
  <c r="I30" i="4"/>
  <c r="H30" i="4"/>
  <c r="G30" i="4"/>
  <c r="F30" i="4"/>
  <c r="E30" i="4"/>
  <c r="D30" i="4"/>
  <c r="AG29" i="4"/>
  <c r="AF29" i="4"/>
  <c r="AE29" i="4"/>
  <c r="AD29" i="4"/>
  <c r="AC29" i="4"/>
  <c r="AB29" i="4"/>
  <c r="AA29" i="4"/>
  <c r="Y29" i="4"/>
  <c r="X29" i="4"/>
  <c r="W29" i="4"/>
  <c r="V29" i="4"/>
  <c r="U29" i="4"/>
  <c r="T29" i="4"/>
  <c r="S29" i="4"/>
  <c r="Q29" i="4"/>
  <c r="P29" i="4"/>
  <c r="O29" i="4"/>
  <c r="N29" i="4"/>
  <c r="M29" i="4"/>
  <c r="L29" i="4"/>
  <c r="K29" i="4"/>
  <c r="I29" i="4"/>
  <c r="H29" i="4"/>
  <c r="G29" i="4"/>
  <c r="F29" i="4"/>
  <c r="E29" i="4"/>
  <c r="D29" i="4"/>
  <c r="C29" i="4"/>
  <c r="AG28" i="4"/>
  <c r="AF28" i="4"/>
  <c r="AE28" i="4"/>
  <c r="AD28" i="4"/>
  <c r="AC28" i="4"/>
  <c r="AB28" i="4"/>
  <c r="AA28" i="4"/>
  <c r="Y28" i="4"/>
  <c r="X28" i="4"/>
  <c r="W28" i="4"/>
  <c r="V28" i="4"/>
  <c r="U28" i="4"/>
  <c r="T28" i="4"/>
  <c r="S28" i="4"/>
  <c r="Q28" i="4"/>
  <c r="P28" i="4"/>
  <c r="O28" i="4"/>
  <c r="N28" i="4"/>
  <c r="M28" i="4"/>
  <c r="L28" i="4"/>
  <c r="K28" i="4"/>
  <c r="I28" i="4"/>
  <c r="H28" i="4"/>
  <c r="G28" i="4"/>
  <c r="F28" i="4"/>
  <c r="E28" i="4"/>
  <c r="D28" i="4"/>
  <c r="C28" i="4"/>
  <c r="AG27" i="4"/>
  <c r="AF27" i="4"/>
  <c r="AE27" i="4"/>
  <c r="AD27" i="4"/>
  <c r="AC27" i="4"/>
  <c r="AB27" i="4"/>
  <c r="AA27" i="4"/>
  <c r="Y27" i="4"/>
  <c r="X27" i="4"/>
  <c r="W27" i="4"/>
  <c r="V27" i="4"/>
  <c r="U27" i="4"/>
  <c r="T27" i="4"/>
  <c r="S27" i="4"/>
  <c r="Q27" i="4"/>
  <c r="P27" i="4"/>
  <c r="O27" i="4"/>
  <c r="N27" i="4"/>
  <c r="M27" i="4"/>
  <c r="L27" i="4"/>
  <c r="K27" i="4"/>
  <c r="I27" i="4"/>
  <c r="H27" i="4"/>
  <c r="G27" i="4"/>
  <c r="F27" i="4"/>
  <c r="E27" i="4"/>
  <c r="D27" i="4"/>
  <c r="C27" i="4"/>
  <c r="AG26" i="4"/>
  <c r="AF26" i="4"/>
  <c r="AE26" i="4"/>
  <c r="AD26" i="4"/>
  <c r="AC26" i="4"/>
  <c r="AB26" i="4"/>
  <c r="AA26" i="4"/>
  <c r="Y26" i="4"/>
  <c r="X26" i="4"/>
  <c r="W26" i="4"/>
  <c r="V26" i="4"/>
  <c r="U26" i="4"/>
  <c r="T26" i="4"/>
  <c r="S26" i="4"/>
  <c r="Q26" i="4"/>
  <c r="P26" i="4"/>
  <c r="O26" i="4"/>
  <c r="N26" i="4"/>
  <c r="M26" i="4"/>
  <c r="L26" i="4"/>
  <c r="K26" i="4"/>
  <c r="I26" i="4"/>
  <c r="H26" i="4"/>
  <c r="G26" i="4"/>
  <c r="F26" i="4"/>
  <c r="E26" i="4"/>
  <c r="D26" i="4"/>
  <c r="C26" i="4"/>
  <c r="AG25" i="4"/>
  <c r="AF25" i="4"/>
  <c r="AE25" i="4"/>
  <c r="AD25" i="4"/>
  <c r="AC25" i="4"/>
  <c r="AB25" i="4"/>
  <c r="AA25" i="4"/>
  <c r="Y25" i="4"/>
  <c r="X25" i="4"/>
  <c r="W25" i="4"/>
  <c r="V25" i="4"/>
  <c r="U25" i="4"/>
  <c r="T25" i="4"/>
  <c r="S25" i="4"/>
  <c r="Q25" i="4"/>
  <c r="P25" i="4"/>
  <c r="O25" i="4"/>
  <c r="N25" i="4"/>
  <c r="M25" i="4"/>
  <c r="L25" i="4"/>
  <c r="K25" i="4"/>
  <c r="I25" i="4"/>
  <c r="H25" i="4"/>
  <c r="G25" i="4"/>
  <c r="F25" i="4"/>
  <c r="E25" i="4"/>
  <c r="D25" i="4"/>
  <c r="C25" i="4"/>
  <c r="AG21" i="4"/>
  <c r="AF21" i="4"/>
  <c r="AE21" i="4"/>
  <c r="AD21" i="4"/>
  <c r="AC21" i="4"/>
  <c r="AB21" i="4"/>
  <c r="AA21" i="4"/>
  <c r="Y21" i="4"/>
  <c r="X21" i="4"/>
  <c r="W21" i="4"/>
  <c r="V21" i="4"/>
  <c r="U21" i="4"/>
  <c r="T21" i="4"/>
  <c r="S21" i="4"/>
  <c r="Q21" i="4"/>
  <c r="P21" i="4"/>
  <c r="O21" i="4"/>
  <c r="N21" i="4"/>
  <c r="M21" i="4"/>
  <c r="L21" i="4"/>
  <c r="K21" i="4"/>
  <c r="I21" i="4"/>
  <c r="H21" i="4"/>
  <c r="G21" i="4"/>
  <c r="F21" i="4"/>
  <c r="E21" i="4"/>
  <c r="D21" i="4"/>
  <c r="C21" i="4"/>
  <c r="AG20" i="4"/>
  <c r="AF20" i="4"/>
  <c r="AE20" i="4"/>
  <c r="AD20" i="4"/>
  <c r="AC20" i="4"/>
  <c r="AB20" i="4"/>
  <c r="AA20" i="4"/>
  <c r="Y20" i="4"/>
  <c r="X20" i="4"/>
  <c r="W20" i="4"/>
  <c r="V20" i="4"/>
  <c r="U20" i="4"/>
  <c r="T20" i="4"/>
  <c r="S20" i="4"/>
  <c r="Q20" i="4"/>
  <c r="P20" i="4"/>
  <c r="O20" i="4"/>
  <c r="N20" i="4"/>
  <c r="M20" i="4"/>
  <c r="L20" i="4"/>
  <c r="K20" i="4"/>
  <c r="I20" i="4"/>
  <c r="H20" i="4"/>
  <c r="G20" i="4"/>
  <c r="F20" i="4"/>
  <c r="E20" i="4"/>
  <c r="D20" i="4"/>
  <c r="C20" i="4"/>
  <c r="AG19" i="4"/>
  <c r="AF19" i="4"/>
  <c r="AE19" i="4"/>
  <c r="AD19" i="4"/>
  <c r="AC19" i="4"/>
  <c r="AB19" i="4"/>
  <c r="AA19" i="4"/>
  <c r="Y19" i="4"/>
  <c r="X19" i="4"/>
  <c r="W19" i="4"/>
  <c r="V19" i="4"/>
  <c r="U19" i="4"/>
  <c r="T19" i="4"/>
  <c r="S19" i="4"/>
  <c r="Q19" i="4"/>
  <c r="P19" i="4"/>
  <c r="O19" i="4"/>
  <c r="N19" i="4"/>
  <c r="M19" i="4"/>
  <c r="L19" i="4"/>
  <c r="K19" i="4"/>
  <c r="I19" i="4"/>
  <c r="H19" i="4"/>
  <c r="G19" i="4"/>
  <c r="F19" i="4"/>
  <c r="E19" i="4"/>
  <c r="D19" i="4"/>
  <c r="C19" i="4"/>
  <c r="AG18" i="4"/>
  <c r="AF18" i="4"/>
  <c r="AE18" i="4"/>
  <c r="AD18" i="4"/>
  <c r="AC18" i="4"/>
  <c r="AB18" i="4"/>
  <c r="AA18" i="4"/>
  <c r="Y18" i="4"/>
  <c r="X18" i="4"/>
  <c r="W18" i="4"/>
  <c r="V18" i="4"/>
  <c r="U18" i="4"/>
  <c r="T18" i="4"/>
  <c r="S18" i="4"/>
  <c r="Q18" i="4"/>
  <c r="P18" i="4"/>
  <c r="O18" i="4"/>
  <c r="N18" i="4"/>
  <c r="M18" i="4"/>
  <c r="L18" i="4"/>
  <c r="K18" i="4"/>
  <c r="I18" i="4"/>
  <c r="H18" i="4"/>
  <c r="G18" i="4"/>
  <c r="F18" i="4"/>
  <c r="E18" i="4"/>
  <c r="D18" i="4"/>
  <c r="C18" i="4"/>
  <c r="AG17" i="4"/>
  <c r="AF17" i="4"/>
  <c r="AE17" i="4"/>
  <c r="AD17" i="4"/>
  <c r="AC17" i="4"/>
  <c r="AB17" i="4"/>
  <c r="AA17" i="4"/>
  <c r="Y17" i="4"/>
  <c r="X17" i="4"/>
  <c r="W17" i="4"/>
  <c r="V17" i="4"/>
  <c r="U17" i="4"/>
  <c r="T17" i="4"/>
  <c r="S17" i="4"/>
  <c r="Q17" i="4"/>
  <c r="P17" i="4"/>
  <c r="O17" i="4"/>
  <c r="N17" i="4"/>
  <c r="M17" i="4"/>
  <c r="L17" i="4"/>
  <c r="K17" i="4"/>
  <c r="I17" i="4"/>
  <c r="H17" i="4"/>
  <c r="G17" i="4"/>
  <c r="F17" i="4"/>
  <c r="E17" i="4"/>
  <c r="D17" i="4"/>
  <c r="C17" i="4"/>
  <c r="AG16" i="4"/>
  <c r="AF16" i="4"/>
  <c r="AE16" i="4"/>
  <c r="AD16" i="4"/>
  <c r="AC16" i="4"/>
  <c r="AB16" i="4"/>
  <c r="AA16" i="4"/>
  <c r="Y16" i="4"/>
  <c r="X16" i="4"/>
  <c r="W16" i="4"/>
  <c r="V16" i="4"/>
  <c r="U16" i="4"/>
  <c r="T16" i="4"/>
  <c r="S16" i="4"/>
  <c r="Q16" i="4"/>
  <c r="P16" i="4"/>
  <c r="O16" i="4"/>
  <c r="N16" i="4"/>
  <c r="M16" i="4"/>
  <c r="L16" i="4"/>
  <c r="K16" i="4"/>
  <c r="I16" i="4"/>
  <c r="H16" i="4"/>
  <c r="G16" i="4"/>
  <c r="F16" i="4"/>
  <c r="E16" i="4"/>
  <c r="D16" i="4"/>
  <c r="C16" i="4"/>
  <c r="AG12" i="4"/>
  <c r="AF12" i="4"/>
  <c r="AE12" i="4"/>
  <c r="AD12" i="4"/>
  <c r="AC12" i="4"/>
  <c r="AB12" i="4"/>
  <c r="AA12" i="4"/>
  <c r="Y12" i="4"/>
  <c r="X12" i="4"/>
  <c r="W12" i="4"/>
  <c r="V12" i="4"/>
  <c r="U12" i="4"/>
  <c r="T12" i="4"/>
  <c r="S12" i="4"/>
  <c r="Q12" i="4"/>
  <c r="P12" i="4"/>
  <c r="O12" i="4"/>
  <c r="N12" i="4"/>
  <c r="M12" i="4"/>
  <c r="L12" i="4"/>
  <c r="K12" i="4"/>
  <c r="I12" i="4"/>
  <c r="H12" i="4"/>
  <c r="G12" i="4"/>
  <c r="F12" i="4"/>
  <c r="E12" i="4"/>
  <c r="D12" i="4"/>
  <c r="C12" i="4"/>
  <c r="AG11" i="4"/>
  <c r="AF11" i="4"/>
  <c r="AE11" i="4"/>
  <c r="AD11" i="4"/>
  <c r="AC11" i="4"/>
  <c r="AB11" i="4"/>
  <c r="AA11" i="4"/>
  <c r="Y11" i="4"/>
  <c r="X11" i="4"/>
  <c r="W11" i="4"/>
  <c r="V11" i="4"/>
  <c r="U11" i="4"/>
  <c r="T11" i="4"/>
  <c r="S11" i="4"/>
  <c r="Q11" i="4"/>
  <c r="P11" i="4"/>
  <c r="O11" i="4"/>
  <c r="N11" i="4"/>
  <c r="M11" i="4"/>
  <c r="L11" i="4"/>
  <c r="K11" i="4"/>
  <c r="I11" i="4"/>
  <c r="H11" i="4"/>
  <c r="G11" i="4"/>
  <c r="F11" i="4"/>
  <c r="E11" i="4"/>
  <c r="D11" i="4"/>
  <c r="C11" i="4"/>
  <c r="AG10" i="4"/>
  <c r="AF10" i="4"/>
  <c r="AE10" i="4"/>
  <c r="AD10" i="4"/>
  <c r="AC10" i="4"/>
  <c r="AB10" i="4"/>
  <c r="AA10" i="4"/>
  <c r="Y10" i="4"/>
  <c r="X10" i="4"/>
  <c r="W10" i="4"/>
  <c r="V10" i="4"/>
  <c r="U10" i="4"/>
  <c r="T10" i="4"/>
  <c r="S10" i="4"/>
  <c r="Q10" i="4"/>
  <c r="P10" i="4"/>
  <c r="O10" i="4"/>
  <c r="N10" i="4"/>
  <c r="M10" i="4"/>
  <c r="L10" i="4"/>
  <c r="K10" i="4"/>
  <c r="I10" i="4"/>
  <c r="H10" i="4"/>
  <c r="G10" i="4"/>
  <c r="F10" i="4"/>
  <c r="E10" i="4"/>
  <c r="D10" i="4"/>
  <c r="C10" i="4"/>
  <c r="AG9" i="4"/>
  <c r="AF9" i="4"/>
  <c r="AE9" i="4"/>
  <c r="AD9" i="4"/>
  <c r="AC9" i="4"/>
  <c r="AB9" i="4"/>
  <c r="AA9" i="4"/>
  <c r="Y9" i="4"/>
  <c r="X9" i="4"/>
  <c r="W9" i="4"/>
  <c r="V9" i="4"/>
  <c r="U9" i="4"/>
  <c r="T9" i="4"/>
  <c r="S9" i="4"/>
  <c r="Q9" i="4"/>
  <c r="P9" i="4"/>
  <c r="O9" i="4"/>
  <c r="N9" i="4"/>
  <c r="M9" i="4"/>
  <c r="L9" i="4"/>
  <c r="K9" i="4"/>
  <c r="I9" i="4"/>
  <c r="H9" i="4"/>
  <c r="G9" i="4"/>
  <c r="F9" i="4"/>
  <c r="E9" i="4"/>
  <c r="D9" i="4"/>
  <c r="C9" i="4"/>
  <c r="AG8" i="4"/>
  <c r="AF8" i="4"/>
  <c r="AE8" i="4"/>
  <c r="AD8" i="4"/>
  <c r="AC8" i="4"/>
  <c r="AB8" i="4"/>
  <c r="AA8" i="4"/>
  <c r="Y8" i="4"/>
  <c r="X8" i="4"/>
  <c r="W8" i="4"/>
  <c r="V8" i="4"/>
  <c r="U8" i="4"/>
  <c r="T8" i="4"/>
  <c r="S8" i="4"/>
  <c r="Q8" i="4"/>
  <c r="P8" i="4"/>
  <c r="O8" i="4"/>
  <c r="N8" i="4"/>
  <c r="M8" i="4"/>
  <c r="L8" i="4"/>
  <c r="K8" i="4"/>
  <c r="I8" i="4"/>
  <c r="H8" i="4"/>
  <c r="G8" i="4"/>
  <c r="F8" i="4"/>
  <c r="E8" i="4"/>
  <c r="D8" i="4"/>
  <c r="C8" i="4"/>
  <c r="AG7" i="4"/>
  <c r="AF7" i="4"/>
  <c r="AE7" i="4"/>
  <c r="AD7" i="4"/>
  <c r="AC7" i="4"/>
  <c r="AB7" i="4"/>
  <c r="AA7" i="4"/>
  <c r="Y7" i="4"/>
  <c r="X7" i="4"/>
  <c r="W7" i="4"/>
  <c r="V7" i="4"/>
  <c r="U7" i="4"/>
  <c r="T7" i="4"/>
  <c r="S7" i="4"/>
  <c r="Q7" i="4"/>
  <c r="P7" i="4"/>
  <c r="N7" i="4"/>
  <c r="M7" i="4"/>
  <c r="L7" i="4"/>
  <c r="K7" i="4"/>
  <c r="I7" i="4"/>
  <c r="H7" i="4"/>
  <c r="G7" i="4"/>
  <c r="F7" i="4"/>
  <c r="E7" i="4"/>
  <c r="D7" i="4"/>
</calcChain>
</file>

<file path=xl/sharedStrings.xml><?xml version="1.0" encoding="utf-8"?>
<sst xmlns="http://schemas.openxmlformats.org/spreadsheetml/2006/main" count="452" uniqueCount="28">
  <si>
    <t>Январь</t>
  </si>
  <si>
    <t>ПН</t>
  </si>
  <si>
    <t>Февраль</t>
  </si>
  <si>
    <t>Март</t>
  </si>
  <si>
    <t>ВТ</t>
  </si>
  <si>
    <t>ЧТ</t>
  </si>
  <si>
    <t>СР</t>
  </si>
  <si>
    <t>ПТ</t>
  </si>
  <si>
    <t>СБ</t>
  </si>
  <si>
    <t>ВС</t>
  </si>
  <si>
    <t>Передвигайте ползунок, чтобы выбрать нужный год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</si>
  <si>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</si>
  <si>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</si>
  <si>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</si>
  <si>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</si>
  <si>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</si>
  <si>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</si>
  <si>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</si>
  <si>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</si>
  <si>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</si>
  <si>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дата 1</t>
  </si>
  <si>
    <t>дата 2</t>
  </si>
  <si>
    <t>разность</t>
  </si>
  <si>
    <t>рабочие дни</t>
  </si>
  <si>
    <t xml:space="preserve">календарные дни </t>
  </si>
  <si>
    <t>кол-во дней</t>
  </si>
  <si>
    <t>прибавить рабочие дни</t>
  </si>
  <si>
    <t>прибавить календарные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</si>
</sst>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-* #,##0.00\ &quot;lei&quot;_-;\-* #,##0.00\ &quot;lei&quot;_-;_-* &quot;-&quot;??\ &quot;lei&quot;_-;_-@_-"/>
    <numFmt numFmtId="167" formatCode="_-* #,##0\ &quot;lei&quot;_-;\-* #,##0\ &quot;lei&quot;_-;_-* &quot;-&quot;\ &quot;lei&quot;_-;_-@_-"/>
    <numFmt numFmtId="168" formatCode="d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b/>
      <sz val="28"/>
      <color theme="0" tint="-0.14999847407452621"/>
      <name val="Cambria"/>
      <family val="1"/>
      <scheme val="major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2" tint="-0.24994659260841701"/>
      </left>
      <right/>
      <top style="thick">
        <color theme="2" tint="-0.24994659260841701"/>
      </top>
      <bottom/>
      <diagonal/>
    </border>
    <border>
      <left/>
      <right/>
      <top style="thick">
        <color theme="2" tint="-0.24994659260841701"/>
      </top>
      <bottom/>
      <diagonal/>
    </border>
    <border>
      <left/>
      <right style="thick">
        <color theme="2" tint="-0.24994659260841701"/>
      </right>
      <top style="thick">
        <color theme="2" tint="-0.24994659260841701"/>
      </top>
      <bottom/>
      <diagonal/>
    </border>
    <border>
      <left style="thick">
        <color theme="2" tint="-0.24994659260841701"/>
      </left>
      <right/>
      <top/>
      <bottom/>
      <diagonal/>
    </border>
    <border>
      <left/>
      <right style="thick">
        <color theme="2" tint="-0.24994659260841701"/>
      </right>
      <top/>
      <bottom/>
      <diagonal/>
    </border>
    <border>
      <left style="thick">
        <color theme="2" tint="-0.24994659260841701"/>
      </left>
      <right/>
      <top/>
      <bottom style="thick">
        <color theme="2" tint="-0.24994659260841701"/>
      </bottom>
      <diagonal/>
    </border>
    <border>
      <left/>
      <right/>
      <top/>
      <bottom style="thick">
        <color theme="2" tint="-0.24994659260841701"/>
      </bottom>
      <diagonal/>
    </border>
    <border>
      <left/>
      <right style="thick">
        <color theme="2" tint="-0.24994659260841701"/>
      </right>
      <top/>
      <bottom style="thick">
        <color theme="2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17" applyNumberFormat="0" applyAlignment="0" applyProtection="0"/>
    <xf numFmtId="0" fontId="14" fillId="9" borderId="18" applyNumberFormat="0" applyAlignment="0" applyProtection="0"/>
    <xf numFmtId="0" fontId="15" fillId="9" borderId="17" applyNumberFormat="0" applyAlignment="0" applyProtection="0"/>
    <xf numFmtId="0" fontId="16" fillId="0" borderId="19" applyNumberFormat="0" applyFill="0" applyAlignment="0" applyProtection="0"/>
    <xf numFmtId="0" fontId="17" fillId="10" borderId="20" applyNumberFormat="0" applyAlignment="0" applyProtection="0"/>
    <xf numFmtId="0" fontId="18" fillId="0" borderId="0" applyNumberFormat="0" applyFill="0" applyBorder="0" applyAlignment="0" applyProtection="0"/>
    <xf numFmtId="0" fontId="22" fillId="11" borderId="21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2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4" borderId="0" xfId="0" applyFill="1"/>
    <xf numFmtId="0" fontId="5" fillId="4" borderId="0" xfId="0" applyFont="1" applyFill="1" applyAlignment="1">
      <alignment vertical="center"/>
    </xf>
    <xf numFmtId="0" fontId="0" fillId="0" borderId="9" xfId="0" applyNumberFormat="1" applyBorder="1"/>
    <xf numFmtId="0" fontId="0" fillId="0" borderId="0" xfId="0" applyNumberFormat="1" applyBorder="1"/>
    <xf numFmtId="0" fontId="0" fillId="0" borderId="10" xfId="0" applyNumberFormat="1" applyBorder="1"/>
    <xf numFmtId="168" fontId="2" fillId="0" borderId="3" xfId="0" applyNumberFormat="1" applyFont="1" applyBorder="1" applyAlignment="1">
      <alignment horizontal="center"/>
    </xf>
    <xf numFmtId="168" fontId="2" fillId="0" borderId="2" xfId="0" applyNumberFormat="1" applyFont="1" applyBorder="1" applyAlignment="1">
      <alignment horizontal="center"/>
    </xf>
    <xf numFmtId="0" fontId="23" fillId="4" borderId="0" xfId="0" applyFont="1" applyFill="1"/>
    <xf numFmtId="0" fontId="23" fillId="36" borderId="0" xfId="0" applyFont="1" applyFill="1"/>
    <xf numFmtId="14" fontId="23" fillId="36" borderId="0" xfId="0" applyNumberFormat="1" applyFont="1" applyFill="1"/>
    <xf numFmtId="0" fontId="23" fillId="4" borderId="0" xfId="0" applyFont="1" applyFill="1" applyAlignment="1">
      <alignment horizontal="center"/>
    </xf>
    <xf numFmtId="168" fontId="2" fillId="37" borderId="2" xfId="0" applyNumberFormat="1" applyFont="1" applyFill="1" applyBorder="1" applyAlignment="1">
      <alignment horizontal="center"/>
    </xf>
    <xf numFmtId="168" fontId="2" fillId="37" borderId="3" xfId="0" applyNumberFormat="1" applyFont="1" applyFill="1" applyBorder="1" applyAlignment="1">
      <alignment horizontal="center"/>
    </xf>
    <xf numFmtId="168" fontId="2" fillId="0" borderId="2" xfId="0" applyNumberFormat="1" applyFont="1" applyFill="1" applyBorder="1" applyAlignment="1">
      <alignment horizontal="center"/>
    </xf>
    <xf numFmtId="168" fontId="2" fillId="38" borderId="2" xfId="0" applyNumberFormat="1" applyFont="1" applyFill="1" applyBorder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36" borderId="0" xfId="0" applyFill="1"/>
    <xf numFmtId="0" fontId="2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47">
    <cellStyle name="20% — акцент1" xfId="24" builtinId="30" customBuiltin="1"/>
    <cellStyle name="20% — акцент2" xfId="28" builtinId="34" customBuiltin="1"/>
    <cellStyle name="20% — акцент3" xfId="32" builtinId="38" customBuiltin="1"/>
    <cellStyle name="20% — акцент4" xfId="36" builtinId="42" customBuiltin="1"/>
    <cellStyle name="20% — акцент5" xfId="40" builtinId="46" customBuiltin="1"/>
    <cellStyle name="20% — акцент6" xfId="44" builtinId="50" customBuiltin="1"/>
    <cellStyle name="40% — акцент1" xfId="25" builtinId="31" customBuiltin="1"/>
    <cellStyle name="40% — акцент2" xfId="29" builtinId="35" customBuiltin="1"/>
    <cellStyle name="40% — акцент3" xfId="33" builtinId="39" customBuiltin="1"/>
    <cellStyle name="40% — акцент4" xfId="37" builtinId="43" customBuiltin="1"/>
    <cellStyle name="40% — акцент5" xfId="41" builtinId="47" customBuiltin="1"/>
    <cellStyle name="40% — акцент6" xfId="45" builtinId="51" customBuiltin="1"/>
    <cellStyle name="60% — акцент1" xfId="26" builtinId="32" customBuiltin="1"/>
    <cellStyle name="60% — акцент2" xfId="30" builtinId="36" customBuiltin="1"/>
    <cellStyle name="60% — акцент3" xfId="34" builtinId="40" customBuiltin="1"/>
    <cellStyle name="60% — акцент4" xfId="38" builtinId="44" customBuiltin="1"/>
    <cellStyle name="60% — акцент5" xfId="42" builtinId="48" customBuiltin="1"/>
    <cellStyle name="60% — акцент6" xfId="46" builtinId="52" customBuiltin="1"/>
    <cellStyle name="Акцент1" xfId="23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4" builtinId="20" customBuiltin="1"/>
    <cellStyle name="Вывод" xfId="15" builtinId="21" customBuiltin="1"/>
    <cellStyle name="Вычисление" xfId="16" builtinId="22" customBuiltin="1"/>
    <cellStyle name="Денежный" xfId="3" builtinId="4" customBuiltin="1"/>
    <cellStyle name="Денежный [0]" xfId="4" builtinId="7" customBuiltin="1"/>
    <cellStyle name="Заголовок 1" xfId="7" builtinId="16" customBuiltin="1"/>
    <cellStyle name="Заголовок 2" xfId="8" builtinId="17" customBuiltin="1"/>
    <cellStyle name="Заголовок 3" xfId="9" builtinId="18" customBuiltin="1"/>
    <cellStyle name="Заголовок 4" xfId="10" builtinId="19" customBuiltin="1"/>
    <cellStyle name="Итог" xfId="22" builtinId="25" customBuiltin="1"/>
    <cellStyle name="Контрольная ячейка" xfId="18" builtinId="23" customBuiltin="1"/>
    <cellStyle name="Название" xfId="6" builtinId="15" customBuiltin="1"/>
    <cellStyle name="Нейтральный" xfId="13" builtinId="28" customBuiltin="1"/>
    <cellStyle name="Обычный" xfId="0" builtinId="0" customBuiltin="1"/>
    <cellStyle name="Плохой" xfId="12" builtinId="27" customBuiltin="1"/>
    <cellStyle name="Пояснение" xfId="21" builtinId="53" customBuiltin="1"/>
    <cellStyle name="Примечание" xfId="20" builtinId="10" customBuiltin="1"/>
    <cellStyle name="Процентный" xfId="5" builtinId="5" customBuiltin="1"/>
    <cellStyle name="Связанная ячейка" xfId="17" builtinId="24" customBuiltin="1"/>
    <cellStyle name="Текст предупреждения" xfId="19" builtinId="11" customBuiltin="1"/>
    <cellStyle name="Финансовый" xfId="1" builtinId="3" customBuiltin="1"/>
    <cellStyle name="Финансовый [0]" xfId="2" builtinId="6" customBuiltin="1"/>
    <cellStyle name="Хороший" xfId="11" builtinId="26" customBuiltin="1"/>
  </cellStyles>
  <dxfs count="8">
    <dxf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/>
        <right/>
        <top/>
        <bottom/>
        <vertical/>
        <horizontal/>
      </border>
    </dxf>
    <dxf>
      <font>
        <color theme="0"/>
      </font>
      <fill>
        <patternFill patternType="solid">
          <fgColor theme="0"/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F4EE00"/>
      <color rgb="FFFFFF99"/>
      <color rgb="FFAEDD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0</xdr:row>
          <xdr:rowOff>66675</xdr:rowOff>
        </xdr:from>
        <xdr:to>
          <xdr:col>7</xdr:col>
          <xdr:colOff>85725</xdr:colOff>
          <xdr:row>0</xdr:row>
          <xdr:rowOff>238125</xdr:rowOff>
        </xdr:to>
        <xdr:sp macro="" textlink="">
          <xdr:nvSpPr>
            <xdr:cNvPr id="2049" name="ПолосаПрокрутки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0</xdr:row>
          <xdr:rowOff>66675</xdr:rowOff>
        </xdr:from>
        <xdr:to>
          <xdr:col>7</xdr:col>
          <xdr:colOff>85725</xdr:colOff>
          <xdr:row>0</xdr:row>
          <xdr:rowOff>238125</xdr:rowOff>
        </xdr:to>
        <xdr:sp macro="" textlink="">
          <xdr:nvSpPr>
            <xdr:cNvPr id="3073" name="ПолосаПрокрутки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0</xdr:row>
          <xdr:rowOff>66675</xdr:rowOff>
        </xdr:from>
        <xdr:to>
          <xdr:col>7</xdr:col>
          <xdr:colOff>85725</xdr:colOff>
          <xdr:row>0</xdr:row>
          <xdr:rowOff>238125</xdr:rowOff>
        </xdr:to>
        <xdr:sp macro="" textlink="">
          <xdr:nvSpPr>
            <xdr:cNvPr id="4097" name="ПолосаПрокрутки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19050</xdr:colOff>
          <xdr:row>0</xdr:row>
          <xdr:rowOff>66675</xdr:rowOff>
        </xdr:from>
        <xdr:to>
          <xdr:col>7</xdr:col>
          <xdr:colOff>85725</xdr:colOff>
          <xdr:row>0</xdr:row>
          <xdr:rowOff>238125</xdr:rowOff>
        </xdr:to>
        <xdr:sp macro="" textlink="">
          <xdr:nvSpPr>
            <xdr:cNvPr id="5121" name="ПолосаПрокрутки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AN32"/>
  <sheetViews>
    <sheetView showGridLines="0" zoomScale="70" zoomScaleNormal="70" workbookViewId="0">
      <selection activeCell="AL29" sqref="AL29"/>
    </sheetView>
  </sheetViews>
  <sheetFormatPr defaultColWidth="9.140625" defaultRowHeight="12.75" x14ac:dyDescent="0.2"/>
  <cols>
    <col min="1" max="5" width="3.28515625" style="13" customWidth="1"/>
    <col min="6" max="6" width="3.42578125" style="13" customWidth="1"/>
    <col min="7" max="17" width="3" style="13" customWidth="1"/>
    <col min="18" max="18" width="3.140625" style="13" customWidth="1"/>
    <col min="19" max="25" width="3" style="13" customWidth="1"/>
    <col min="26" max="26" width="2.7109375" style="13" customWidth="1"/>
    <col min="27" max="33" width="3" style="13" customWidth="1"/>
    <col min="34" max="34" width="3.28515625" style="13" customWidth="1"/>
    <col min="35" max="35" width="9.85546875" style="13" customWidth="1"/>
    <col min="36" max="36" width="10.7109375" style="13" bestFit="1" customWidth="1"/>
    <col min="37" max="37" width="17.85546875" style="13" customWidth="1"/>
    <col min="38" max="38" width="9.140625" style="13"/>
    <col min="39" max="39" width="18.140625" style="13" customWidth="1"/>
    <col min="40" max="40" width="14.42578125" style="13" customWidth="1"/>
    <col min="41" max="16384" width="9.140625" style="13"/>
  </cols>
  <sheetData>
    <row r="1" spans="2:40" ht="24" customHeight="1" x14ac:dyDescent="0.2">
      <c r="I1" s="14" t="s">
        <v>10</v>
      </c>
    </row>
    <row r="2" spans="2:40" ht="27" customHeight="1" x14ac:dyDescent="0.2">
      <c r="B2" s="32">
        <v>2023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2:40" ht="15.75" thickBot="1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J3" s="30" t="s">
        <v>23</v>
      </c>
      <c r="AK3" s="30"/>
      <c r="AM3" s="30" t="s">
        <v>26</v>
      </c>
      <c r="AN3" s="30"/>
    </row>
    <row r="4" spans="2:40" ht="14.25" customHeight="1" thickTop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  <c r="AJ4" s="20" t="s">
        <v>20</v>
      </c>
      <c r="AK4" s="22"/>
      <c r="AM4" s="20" t="s">
        <v>21</v>
      </c>
      <c r="AN4" s="21"/>
    </row>
    <row r="5" spans="2:40" ht="15" x14ac:dyDescent="0.2">
      <c r="B5" s="8"/>
      <c r="C5" s="31" t="s">
        <v>0</v>
      </c>
      <c r="D5" s="31"/>
      <c r="E5" s="31"/>
      <c r="F5" s="31"/>
      <c r="G5" s="31"/>
      <c r="H5" s="31"/>
      <c r="I5" s="31"/>
      <c r="J5" s="1"/>
      <c r="K5" s="31" t="s">
        <v>11</v>
      </c>
      <c r="L5" s="31"/>
      <c r="M5" s="31"/>
      <c r="N5" s="31"/>
      <c r="O5" s="31"/>
      <c r="P5" s="31"/>
      <c r="Q5" s="31"/>
      <c r="R5" s="1"/>
      <c r="S5" s="31" t="s">
        <v>14</v>
      </c>
      <c r="T5" s="31"/>
      <c r="U5" s="31"/>
      <c r="V5" s="31"/>
      <c r="W5" s="31"/>
      <c r="X5" s="31"/>
      <c r="Y5" s="31"/>
      <c r="Z5" s="1"/>
      <c r="AA5" s="31" t="s">
        <v>17</v>
      </c>
      <c r="AB5" s="31"/>
      <c r="AC5" s="31"/>
      <c r="AD5" s="31"/>
      <c r="AE5" s="31"/>
      <c r="AF5" s="31"/>
      <c r="AG5" s="31"/>
      <c r="AH5" s="9"/>
      <c r="AJ5" s="20" t="s">
        <v>21</v>
      </c>
      <c r="AK5" s="22"/>
      <c r="AM5" s="20" t="s">
        <v>25</v>
      </c>
      <c r="AN5" s="21"/>
    </row>
    <row r="6" spans="2:40" ht="15" x14ac:dyDescent="0.2">
      <c r="B6" s="8"/>
      <c r="C6" s="3" t="s">
        <v>1</v>
      </c>
      <c r="D6" s="3" t="s">
        <v>4</v>
      </c>
      <c r="E6" s="3" t="s">
        <v>6</v>
      </c>
      <c r="F6" s="3" t="s">
        <v>5</v>
      </c>
      <c r="G6" s="3" t="s">
        <v>7</v>
      </c>
      <c r="H6" s="4" t="s">
        <v>8</v>
      </c>
      <c r="I6" s="4" t="s">
        <v>9</v>
      </c>
      <c r="J6" s="1"/>
      <c r="K6" s="3" t="s">
        <v>1</v>
      </c>
      <c r="L6" s="3" t="s">
        <v>4</v>
      </c>
      <c r="M6" s="3" t="s">
        <v>6</v>
      </c>
      <c r="N6" s="3" t="s">
        <v>5</v>
      </c>
      <c r="O6" s="3" t="s">
        <v>7</v>
      </c>
      <c r="P6" s="4" t="s">
        <v>8</v>
      </c>
      <c r="Q6" s="4" t="s">
        <v>9</v>
      </c>
      <c r="R6" s="1"/>
      <c r="S6" s="3" t="s">
        <v>1</v>
      </c>
      <c r="T6" s="3" t="s">
        <v>4</v>
      </c>
      <c r="U6" s="3" t="s">
        <v>6</v>
      </c>
      <c r="V6" s="3" t="s">
        <v>5</v>
      </c>
      <c r="W6" s="3" t="s">
        <v>7</v>
      </c>
      <c r="X6" s="4" t="s">
        <v>8</v>
      </c>
      <c r="Y6" s="4" t="s">
        <v>9</v>
      </c>
      <c r="Z6" s="1"/>
      <c r="AA6" s="3" t="s">
        <v>1</v>
      </c>
      <c r="AB6" s="3" t="s">
        <v>4</v>
      </c>
      <c r="AC6" s="3" t="s">
        <v>6</v>
      </c>
      <c r="AD6" s="3" t="s">
        <v>5</v>
      </c>
      <c r="AE6" s="3" t="s">
        <v>7</v>
      </c>
      <c r="AF6" s="4" t="s">
        <v>8</v>
      </c>
      <c r="AG6" s="4" t="s">
        <v>9</v>
      </c>
      <c r="AH6" s="9"/>
      <c r="AJ6" s="20" t="s">
        <v>22</v>
      </c>
      <c r="AK6" s="21"/>
      <c r="AM6" s="20" t="s">
        <v>21</v>
      </c>
      <c r="AN6" s="21"/>
    </row>
    <row r="7" spans="2:40" ht="15" x14ac:dyDescent="0.2">
      <c r="B7" s="8"/>
      <c r="C7" s="18" t="str">
        <f>IF(AND(YEAR(ЯнвВс1)=Год,MONTH(ЯнвВс1)=1),ЯнвВс1, "")</f>
        <v/>
      </c>
      <c r="D7" s="18" t="str">
        <f>IF(AND(YEAR(ЯнвВс1+1)=Год,MONTH(ЯнвВс1+1)=1),ЯнвВс1+1, "")</f>
        <v/>
      </c>
      <c r="E7" s="18" t="str">
        <f>IF(AND(YEAR(ЯнвВс1+2)=Год,MONTH(ЯнвВс1+2)=1),ЯнвВс1+2, "")</f>
        <v/>
      </c>
      <c r="F7" s="18" t="str">
        <f>IF(AND(YEAR(ЯнвВс1+3)=Год,MONTH(ЯнвВс1+3)=1),ЯнвВс1+3, "")</f>
        <v/>
      </c>
      <c r="G7" s="18" t="str">
        <f>IF(AND(YEAR(ЯнвВс1+4)=Год,MONTH(ЯнвВс1+4)=1),ЯнвВс1+4, "")</f>
        <v/>
      </c>
      <c r="H7" s="18" t="str">
        <f>IF(AND(YEAR(ЯнвВс1+5)=Год,MONTH(ЯнвВс1+5)=1),ЯнвВс1+5, "")</f>
        <v/>
      </c>
      <c r="I7" s="25">
        <f>IF(AND(YEAR(ЯнвВс1+6)=Год,MONTH(ЯнвВс1+6)=1),ЯнвВс1+6, "")</f>
        <v>44927</v>
      </c>
      <c r="J7" s="1"/>
      <c r="K7" s="18" t="str">
        <f>IF(AND(YEAR(АпрВс1)=Год,MONTH(АпрВс1)=4),АпрВс1, "")</f>
        <v/>
      </c>
      <c r="L7" s="18" t="str">
        <f>IF(AND(YEAR(АпрВс1+1)=Год,MONTH(АпрВс1+1)=4),АпрВс1+1, "")</f>
        <v/>
      </c>
      <c r="M7" s="18" t="str">
        <f>IF(AND(YEAR(АпрВс1+2)=Год,MONTH(АпрВс1+2)=4),АпрВс1+2, "")</f>
        <v/>
      </c>
      <c r="N7" s="18" t="str">
        <f>IF(AND(YEAR(АпрВс1+3)=Год,MONTH(АпрВс1+3)=4),АпрВс1+3, "")</f>
        <v/>
      </c>
      <c r="O7" s="18" t="str">
        <f>IF(AND(YEAR(АпрВс1+4)=Год,MONTH(АпрВс1+4)=4),АпрВс1+4, "")</f>
        <v/>
      </c>
      <c r="P7" s="25">
        <f>IF(AND(YEAR(АпрВс1+5)=Год,MONTH(АпрВс1+5)=4),АпрВс1+5, "")</f>
        <v>45017</v>
      </c>
      <c r="Q7" s="25">
        <f>IF(AND(YEAR(АпрВс1+6)=Год,MONTH(АпрВс1+6)=4),АпрВс1+6, "")</f>
        <v>45018</v>
      </c>
      <c r="R7" s="1"/>
      <c r="S7" s="18" t="str">
        <f>IF(AND(YEAR(ИюлВс1)=Год,MONTH(ИюлВс1)=7),ИюлВс1, "")</f>
        <v/>
      </c>
      <c r="T7" s="18" t="str">
        <f>IF(AND(YEAR(ИюлВс1+1)=Год,MONTH(ИюлВс1+1)=7),ИюлВс1+1, "")</f>
        <v/>
      </c>
      <c r="U7" s="18" t="str">
        <f>IF(AND(YEAR(ИюлВс1+2)=Год,MONTH(ИюлВс1+2)=7),ИюлВс1+2, "")</f>
        <v/>
      </c>
      <c r="V7" s="18" t="str">
        <f>IF(AND(YEAR(ИюлВс1+3)=Год,MONTH(ИюлВс1+3)=7),ИюлВс1+3, "")</f>
        <v/>
      </c>
      <c r="W7" s="18" t="str">
        <f>IF(AND(YEAR(ИюлВс1+4)=Год,MONTH(ИюлВс1+4)=7),ИюлВс1+4, "")</f>
        <v/>
      </c>
      <c r="X7" s="25">
        <f>IF(AND(YEAR(ИюлВс1+5)=Год,MONTH(ИюлВс1+5)=7),ИюлВс1+5, "")</f>
        <v>45108</v>
      </c>
      <c r="Y7" s="25">
        <f>IF(AND(YEAR(ИюлВс1+6)=Год,MONTH(ИюлВс1+6)=7),ИюлВс1+6, "")</f>
        <v>45109</v>
      </c>
      <c r="Z7" s="1"/>
      <c r="AA7" s="18" t="str">
        <f>IF(AND(YEAR(ОктВс1)=Год,MONTH(ОктВс1)=10),ОктВс1, "")</f>
        <v/>
      </c>
      <c r="AB7" s="18" t="str">
        <f>IF(AND(YEAR(ОктВс1+1)=Год,MONTH(ОктВс1+1)=10),ОктВс1+1, "")</f>
        <v/>
      </c>
      <c r="AC7" s="18" t="str">
        <f>IF(AND(YEAR(ОктВс1+2)=Год,MONTH(ОктВс1+2)=10),ОктВс1+2, "")</f>
        <v/>
      </c>
      <c r="AD7" s="18" t="str">
        <f>IF(AND(YEAR(ОктВс1+3)=Год,MONTH(ОктВс1+3)=10),ОктВс1+3, "")</f>
        <v/>
      </c>
      <c r="AE7" s="18" t="str">
        <f>IF(AND(YEAR(ОктВс1+4)=Год,MONTH(ОктВс1+4)=10),ОктВс1+4, "")</f>
        <v/>
      </c>
      <c r="AF7" s="18" t="str">
        <f>IF(AND(YEAR(ОктВс1+5)=Год,MONTH(ОктВс1+5)=10),ОктВс1+5, "")</f>
        <v/>
      </c>
      <c r="AG7" s="25">
        <f>IF(AND(YEAR(ОктВс1+6)=Год,MONTH(ОктВс1+6)=10),ОктВс1+6, "")</f>
        <v>45200</v>
      </c>
      <c r="AH7" s="9"/>
      <c r="AM7" s="20"/>
      <c r="AN7" s="20"/>
    </row>
    <row r="8" spans="2:40" ht="15" x14ac:dyDescent="0.2">
      <c r="B8" s="8"/>
      <c r="C8" s="24">
        <f>IF(AND(YEAR(ЯнвВс1+7)=Год,MONTH(ЯнвВс1+7)=1),ЯнвВс1+7, "")</f>
        <v>44928</v>
      </c>
      <c r="D8" s="24">
        <f>IF(AND(YEAR(ЯнвВс1+8)=Год,MONTH(ЯнвВс1+8)=1),ЯнвВс1+8, "")</f>
        <v>44929</v>
      </c>
      <c r="E8" s="24">
        <f>IF(AND(YEAR(ЯнвВс1+9)=Год,MONTH(ЯнвВс1+9)=1),ЯнвВс1+9, "")</f>
        <v>44930</v>
      </c>
      <c r="F8" s="24">
        <f>IF(AND(YEAR(ЯнвВс1+10)=Год,MONTH(ЯнвВс1+10)=1),ЯнвВс1+10, "")</f>
        <v>44931</v>
      </c>
      <c r="G8" s="24">
        <f>IF(AND(YEAR(ЯнвВс1+11)=Год,MONTH(ЯнвВс1+11)=1),ЯнвВс1+11, "")</f>
        <v>44932</v>
      </c>
      <c r="H8" s="24">
        <f>IF(AND(YEAR(ЯнвВс1+12)=Год,MONTH(ЯнвВс1+12)=1),ЯнвВс1+12, "")</f>
        <v>44933</v>
      </c>
      <c r="I8" s="24">
        <f>IF(AND(YEAR(ЯнвВс1+13)=Год,MONTH(ЯнвВс1+13)=1),ЯнвВс1+13, "")</f>
        <v>44934</v>
      </c>
      <c r="J8" s="1"/>
      <c r="K8" s="19">
        <f>IF(AND(YEAR(АпрВс1+7)=Год,MONTH(АпрВс1+7)=4),АпрВс1+7, "")</f>
        <v>45019</v>
      </c>
      <c r="L8" s="19">
        <f>IF(AND(YEAR(АпрВс1+8)=Год,MONTH(АпрВс1+8)=4),АпрВс1+8, "")</f>
        <v>45020</v>
      </c>
      <c r="M8" s="19">
        <f>IF(AND(YEAR(АпрВс1+9)=Год,MONTH(АпрВс1+9)=4),АпрВс1+9, "")</f>
        <v>45021</v>
      </c>
      <c r="N8" s="19">
        <f>IF(AND(YEAR(АпрВс1+10)=Год,MONTH(АпрВс1+10)=4),АпрВс1+10, "")</f>
        <v>45022</v>
      </c>
      <c r="O8" s="19">
        <f>IF(AND(YEAR(АпрВс1+11)=Год,MONTH(АпрВс1+11)=4),АпрВс1+11, "")</f>
        <v>45023</v>
      </c>
      <c r="P8" s="24">
        <f>IF(AND(YEAR(АпрВс1+12)=Год,MONTH(АпрВс1+12)=4),АпрВс1+12, "")</f>
        <v>45024</v>
      </c>
      <c r="Q8" s="24">
        <f>IF(AND(YEAR(АпрВс1+13)=Год,MONTH(АпрВс1+13)=4),АпрВс1+13, "")</f>
        <v>45025</v>
      </c>
      <c r="R8" s="1"/>
      <c r="S8" s="19">
        <f>IF(AND(YEAR(ИюлВс1+7)=Год,MONTH(ИюлВс1+7)=7),ИюлВс1+7, "")</f>
        <v>45110</v>
      </c>
      <c r="T8" s="19">
        <f>IF(AND(YEAR(ИюлВс1+8)=Год,MONTH(ИюлВс1+8)=7),ИюлВс1+8, "")</f>
        <v>45111</v>
      </c>
      <c r="U8" s="19">
        <f>IF(AND(YEAR(ИюлВс1+9)=Год,MONTH(ИюлВс1+9)=7),ИюлВс1+9, "")</f>
        <v>45112</v>
      </c>
      <c r="V8" s="19">
        <f>IF(AND(YEAR(ИюлВс1+10)=Год,MONTH(ИюлВс1+10)=7),ИюлВс1+10, "")</f>
        <v>45113</v>
      </c>
      <c r="W8" s="19">
        <f>IF(AND(YEAR(ИюлВс1+11)=Год,MONTH(ИюлВс1+11)=7),ИюлВс1+11, "")</f>
        <v>45114</v>
      </c>
      <c r="X8" s="24">
        <f>IF(AND(YEAR(ИюлВс1+12)=Год,MONTH(ИюлВс1+12)=7),ИюлВс1+12, "")</f>
        <v>45115</v>
      </c>
      <c r="Y8" s="24">
        <f>IF(AND(YEAR(ИюлВс1+13)=Год,MONTH(ИюлВс1+13)=7),ИюлВс1+13, "")</f>
        <v>45116</v>
      </c>
      <c r="Z8" s="1"/>
      <c r="AA8" s="19">
        <f>IF(AND(YEAR(ОктВс1+7)=Год,MONTH(ОктВс1+7)=10),ОктВс1+7, "")</f>
        <v>45201</v>
      </c>
      <c r="AB8" s="19">
        <f>IF(AND(YEAR(ОктВс1+8)=Год,MONTH(ОктВс1+8)=10),ОктВс1+8, "")</f>
        <v>45202</v>
      </c>
      <c r="AC8" s="19">
        <f>IF(AND(YEAR(ОктВс1+9)=Год,MONTH(ОктВс1+9)=10),ОктВс1+9, "")</f>
        <v>45203</v>
      </c>
      <c r="AD8" s="19">
        <f>IF(AND(YEAR(ОктВс1+10)=Год,MONTH(ОктВс1+10)=10),ОктВс1+10, "")</f>
        <v>45204</v>
      </c>
      <c r="AE8" s="19">
        <f>IF(AND(YEAR(ОктВс1+11)=Год,MONTH(ОктВс1+11)=10),ОктВс1+11, "")</f>
        <v>45205</v>
      </c>
      <c r="AF8" s="24">
        <f>IF(AND(YEAR(ОктВс1+12)=Год,MONTH(ОктВс1+12)=10),ОктВс1+12, "")</f>
        <v>45206</v>
      </c>
      <c r="AG8" s="24">
        <f>IF(AND(YEAR(ОктВс1+13)=Год,MONTH(ОктВс1+13)=10),ОктВс1+13, "")</f>
        <v>45207</v>
      </c>
      <c r="AH8" s="9"/>
      <c r="AJ8" s="30" t="s">
        <v>24</v>
      </c>
      <c r="AK8" s="30"/>
      <c r="AM8" s="30" t="s">
        <v>27</v>
      </c>
      <c r="AN8" s="30"/>
    </row>
    <row r="9" spans="2:40" ht="15" x14ac:dyDescent="0.2">
      <c r="B9" s="8"/>
      <c r="C9" s="19">
        <f>IF(AND(YEAR(ЯнвВс1+14)=Год,MONTH(ЯнвВс1+14)=1),ЯнвВс1+14, "")</f>
        <v>44935</v>
      </c>
      <c r="D9" s="19">
        <f>IF(AND(YEAR(ЯнвВс1+15)=Год,MONTH(ЯнвВс1+15)=1),ЯнвВс1+15, "")</f>
        <v>44936</v>
      </c>
      <c r="E9" s="19">
        <f>IF(AND(YEAR(ЯнвВс1+16)=Год,MONTH(ЯнвВс1+16)=1),ЯнвВс1+16, "")</f>
        <v>44937</v>
      </c>
      <c r="F9" s="19">
        <f>IF(AND(YEAR(ЯнвВс1+17)=Год,MONTH(ЯнвВс1+17)=1),ЯнвВс1+17, "")</f>
        <v>44938</v>
      </c>
      <c r="G9" s="19">
        <f>IF(AND(YEAR(ЯнвВс1+18)=Год,MONTH(ЯнвВс1+18)=1),ЯнвВс1+18, "")</f>
        <v>44939</v>
      </c>
      <c r="H9" s="24">
        <f>IF(AND(YEAR(ЯнвВс1+19)=Год,MONTH(ЯнвВс1+19)=1),ЯнвВс1+19, "")</f>
        <v>44940</v>
      </c>
      <c r="I9" s="24">
        <f>IF(AND(YEAR(ЯнвВс1+20)=Год,MONTH(ЯнвВс1+20)=1),ЯнвВс1+20, "")</f>
        <v>44941</v>
      </c>
      <c r="J9" s="1"/>
      <c r="K9" s="19">
        <f>IF(AND(YEAR(АпрВс1+14)=Год,MONTH(АпрВс1+14)=4),АпрВс1+14, "")</f>
        <v>45026</v>
      </c>
      <c r="L9" s="19">
        <f>IF(AND(YEAR(АпрВс1+15)=Год,MONTH(АпрВс1+15)=4),АпрВс1+15, "")</f>
        <v>45027</v>
      </c>
      <c r="M9" s="19">
        <f>IF(AND(YEAR(АпрВс1+16)=Год,MONTH(АпрВс1+16)=4),АпрВс1+16, "")</f>
        <v>45028</v>
      </c>
      <c r="N9" s="19">
        <f>IF(AND(YEAR(АпрВс1+17)=Год,MONTH(АпрВс1+17)=4),АпрВс1+17, "")</f>
        <v>45029</v>
      </c>
      <c r="O9" s="19">
        <f>IF(AND(YEAR(АпрВс1+18)=Год,MONTH(АпрВс1+18)=4),АпрВс1+18, "")</f>
        <v>45030</v>
      </c>
      <c r="P9" s="24">
        <f>IF(AND(YEAR(АпрВс1+19)=Год,MONTH(АпрВс1+19)=4),АпрВс1+19, "")</f>
        <v>45031</v>
      </c>
      <c r="Q9" s="24">
        <f>IF(AND(YEAR(АпрВс1+20)=Год,MONTH(АпрВс1+20)=4),АпрВс1+20, "")</f>
        <v>45032</v>
      </c>
      <c r="R9" s="1"/>
      <c r="S9" s="19">
        <f>IF(AND(YEAR(ИюлВс1+14)=Год,MONTH(ИюлВс1+14)=7),ИюлВс1+14, "")</f>
        <v>45117</v>
      </c>
      <c r="T9" s="19">
        <f>IF(AND(YEAR(ИюлВс1+15)=Год,MONTH(ИюлВс1+15)=7),ИюлВс1+15, "")</f>
        <v>45118</v>
      </c>
      <c r="U9" s="19">
        <f>IF(AND(YEAR(ИюлВс1+16)=Год,MONTH(ИюлВс1+16)=7),ИюлВс1+16, "")</f>
        <v>45119</v>
      </c>
      <c r="V9" s="19">
        <f>IF(AND(YEAR(ИюлВс1+17)=Год,MONTH(ИюлВс1+17)=7),ИюлВс1+17, "")</f>
        <v>45120</v>
      </c>
      <c r="W9" s="19">
        <f>IF(AND(YEAR(ИюлВс1+18)=Год,MONTH(ИюлВс1+18)=7),ИюлВс1+18, "")</f>
        <v>45121</v>
      </c>
      <c r="X9" s="24">
        <f>IF(AND(YEAR(ИюлВс1+19)=Год,MONTH(ИюлВс1+19)=7),ИюлВс1+19, "")</f>
        <v>45122</v>
      </c>
      <c r="Y9" s="24">
        <f>IF(AND(YEAR(ИюлВс1+20)=Год,MONTH(ИюлВс1+20)=7),ИюлВс1+20, "")</f>
        <v>45123</v>
      </c>
      <c r="Z9" s="1"/>
      <c r="AA9" s="19">
        <f>IF(AND(YEAR(ОктВс1+14)=Год,MONTH(ОктВс1+14)=10),ОктВс1+14, "")</f>
        <v>45208</v>
      </c>
      <c r="AB9" s="19">
        <f>IF(AND(YEAR(ОктВс1+15)=Год,MONTH(ОктВс1+15)=10),ОктВс1+15, "")</f>
        <v>45209</v>
      </c>
      <c r="AC9" s="19">
        <f>IF(AND(YEAR(ОктВс1+16)=Год,MONTH(ОктВс1+16)=10),ОктВс1+16, "")</f>
        <v>45210</v>
      </c>
      <c r="AD9" s="19">
        <f>IF(AND(YEAR(ОктВс1+17)=Год,MONTH(ОктВс1+17)=10),ОктВс1+17, "")</f>
        <v>45211</v>
      </c>
      <c r="AE9" s="19">
        <f>IF(AND(YEAR(ОктВс1+18)=Год,MONTH(ОктВс1+18)=10),ОктВс1+18, "")</f>
        <v>45212</v>
      </c>
      <c r="AF9" s="24">
        <f>IF(AND(YEAR(ОктВс1+19)=Год,MONTH(ОктВс1+19)=10),ОктВс1+19, "")</f>
        <v>45213</v>
      </c>
      <c r="AG9" s="24">
        <f>IF(AND(YEAR(ОктВс1+20)=Год,MONTH(ОктВс1+20)=10),ОктВс1+20, "")</f>
        <v>45214</v>
      </c>
      <c r="AH9" s="9"/>
      <c r="AJ9" s="20" t="s">
        <v>20</v>
      </c>
      <c r="AK9" s="22"/>
      <c r="AM9" s="20" t="s">
        <v>21</v>
      </c>
      <c r="AN9" s="21"/>
    </row>
    <row r="10" spans="2:40" ht="15" x14ac:dyDescent="0.2">
      <c r="B10" s="8"/>
      <c r="C10" s="19">
        <f>IF(AND(YEAR(ЯнвВс1+21)=Год,MONTH(ЯнвВс1+21)=1),ЯнвВс1+21, "")</f>
        <v>44942</v>
      </c>
      <c r="D10" s="19">
        <f>IF(AND(YEAR(ЯнвВс1+22)=Год,MONTH(ЯнвВс1+22)=1),ЯнвВс1+22, "")</f>
        <v>44943</v>
      </c>
      <c r="E10" s="19">
        <f>IF(AND(YEAR(ЯнвВс1+23)=Год,MONTH(ЯнвВс1+23)=1),ЯнвВс1+23, "")</f>
        <v>44944</v>
      </c>
      <c r="F10" s="19">
        <f>IF(AND(YEAR(ЯнвВс1+24)=Год,MONTH(ЯнвВс1+24)=1),ЯнвВс1+24, "")</f>
        <v>44945</v>
      </c>
      <c r="G10" s="19">
        <f>IF(AND(YEAR(ЯнвВс1+25)=Год,MONTH(ЯнвВс1+25)=1),ЯнвВс1+25, "")</f>
        <v>44946</v>
      </c>
      <c r="H10" s="24">
        <f>IF(AND(YEAR(ЯнвВс1+26)=Год,MONTH(ЯнвВс1+26)=1),ЯнвВс1+26, "")</f>
        <v>44947</v>
      </c>
      <c r="I10" s="24">
        <f>IF(AND(YEAR(ЯнвВс1+27)=Год,MONTH(ЯнвВс1+27)=1),ЯнвВс1+27, "")</f>
        <v>44948</v>
      </c>
      <c r="J10" s="1"/>
      <c r="K10" s="19">
        <f>IF(AND(YEAR(АпрВс1+21)=Год,MONTH(АпрВс1+21)=4),АпрВс1+21, "")</f>
        <v>45033</v>
      </c>
      <c r="L10" s="19">
        <f>IF(AND(YEAR(АпрВс1+22)=Год,MONTH(АпрВс1+22)=4),АпрВс1+22, "")</f>
        <v>45034</v>
      </c>
      <c r="M10" s="19">
        <f>IF(AND(YEAR(АпрВс1+23)=Год,MONTH(АпрВс1+23)=4),АпрВс1+23, "")</f>
        <v>45035</v>
      </c>
      <c r="N10" s="19">
        <f>IF(AND(YEAR(АпрВс1+24)=Год,MONTH(АпрВс1+24)=4),АпрВс1+24, "")</f>
        <v>45036</v>
      </c>
      <c r="O10" s="19">
        <f>IF(AND(YEAR(АпрВс1+25)=Год,MONTH(АпрВс1+25)=4),АпрВс1+25, "")</f>
        <v>45037</v>
      </c>
      <c r="P10" s="24">
        <f>IF(AND(YEAR(АпрВс1+26)=Год,MONTH(АпрВс1+26)=4),АпрВс1+26, "")</f>
        <v>45038</v>
      </c>
      <c r="Q10" s="24">
        <f>IF(AND(YEAR(АпрВс1+27)=Год,MONTH(АпрВс1+27)=4),АпрВс1+27, "")</f>
        <v>45039</v>
      </c>
      <c r="R10" s="1"/>
      <c r="S10" s="19">
        <f>IF(AND(YEAR(ИюлВс1+21)=Год,MONTH(ИюлВс1+21)=7),ИюлВс1+21, "")</f>
        <v>45124</v>
      </c>
      <c r="T10" s="19">
        <f>IF(AND(YEAR(ИюлВс1+22)=Год,MONTH(ИюлВс1+22)=7),ИюлВс1+22, "")</f>
        <v>45125</v>
      </c>
      <c r="U10" s="19">
        <f>IF(AND(YEAR(ИюлВс1+23)=Год,MONTH(ИюлВс1+23)=7),ИюлВс1+23, "")</f>
        <v>45126</v>
      </c>
      <c r="V10" s="19">
        <f>IF(AND(YEAR(ИюлВс1+24)=Год,MONTH(ИюлВс1+24)=7),ИюлВс1+24, "")</f>
        <v>45127</v>
      </c>
      <c r="W10" s="19">
        <f>IF(AND(YEAR(ИюлВс1+25)=Год,MONTH(ИюлВс1+25)=7),ИюлВс1+25, "")</f>
        <v>45128</v>
      </c>
      <c r="X10" s="24">
        <f>IF(AND(YEAR(ИюлВс1+26)=Год,MONTH(ИюлВс1+26)=7),ИюлВс1+26, "")</f>
        <v>45129</v>
      </c>
      <c r="Y10" s="24">
        <f>IF(AND(YEAR(ИюлВс1+27)=Год,MONTH(ИюлВс1+27)=7),ИюлВс1+27, "")</f>
        <v>45130</v>
      </c>
      <c r="Z10" s="1"/>
      <c r="AA10" s="19">
        <f>IF(AND(YEAR(ОктВс1+21)=Год,MONTH(ОктВс1+21)=10),ОктВс1+21, "")</f>
        <v>45215</v>
      </c>
      <c r="AB10" s="19">
        <f>IF(AND(YEAR(ОктВс1+22)=Год,MONTH(ОктВс1+22)=10),ОктВс1+22, "")</f>
        <v>45216</v>
      </c>
      <c r="AC10" s="19">
        <f>IF(AND(YEAR(ОктВс1+23)=Год,MONTH(ОктВс1+23)=10),ОктВс1+23, "")</f>
        <v>45217</v>
      </c>
      <c r="AD10" s="19">
        <f>IF(AND(YEAR(ОктВс1+24)=Год,MONTH(ОктВс1+24)=10),ОктВс1+24, "")</f>
        <v>45218</v>
      </c>
      <c r="AE10" s="19">
        <f>IF(AND(YEAR(ОктВс1+25)=Год,MONTH(ОктВс1+25)=10),ОктВс1+25, "")</f>
        <v>45219</v>
      </c>
      <c r="AF10" s="24">
        <f>IF(AND(YEAR(ОктВс1+26)=Год,MONTH(ОктВс1+26)=10),ОктВс1+26, "")</f>
        <v>45220</v>
      </c>
      <c r="AG10" s="24">
        <f>IF(AND(YEAR(ОктВс1+27)=Год,MONTH(ОктВс1+27)=10),ОктВс1+27, "")</f>
        <v>45221</v>
      </c>
      <c r="AH10" s="9"/>
      <c r="AJ10" s="20" t="s">
        <v>21</v>
      </c>
      <c r="AK10" s="22"/>
      <c r="AM10" s="20" t="s">
        <v>25</v>
      </c>
      <c r="AN10" s="21"/>
    </row>
    <row r="11" spans="2:40" ht="15" x14ac:dyDescent="0.2">
      <c r="B11" s="8"/>
      <c r="C11" s="19">
        <f>IF(AND(YEAR(ЯнвВс1+28)=Год,MONTH(ЯнвВс1+28)=1),ЯнвВс1+28, "")</f>
        <v>44949</v>
      </c>
      <c r="D11" s="19">
        <f>IF(AND(YEAR(ЯнвВс1+29)=Год,MONTH(ЯнвВс1+29)=1),ЯнвВс1+29, "")</f>
        <v>44950</v>
      </c>
      <c r="E11" s="19">
        <f>IF(AND(YEAR(ЯнвВс1+30)=Год,MONTH(ЯнвВс1+30)=1),ЯнвВс1+30, "")</f>
        <v>44951</v>
      </c>
      <c r="F11" s="19">
        <f>IF(AND(YEAR(ЯнвВс1+31)=Год,MONTH(ЯнвВс1+31)=1),ЯнвВс1+31, "")</f>
        <v>44952</v>
      </c>
      <c r="G11" s="19">
        <f>IF(AND(YEAR(ЯнвВс1+32)=Год,MONTH(ЯнвВс1+32)=1),ЯнвВс1+32, "")</f>
        <v>44953</v>
      </c>
      <c r="H11" s="24">
        <f>IF(AND(YEAR(ЯнвВс1+33)=Год,MONTH(ЯнвВс1+33)=1),ЯнвВс1+33, "")</f>
        <v>44954</v>
      </c>
      <c r="I11" s="24">
        <f>IF(AND(YEAR(ЯнвВс1+34)=Год,MONTH(ЯнвВс1+34)=1),ЯнвВс1+34, "")</f>
        <v>44955</v>
      </c>
      <c r="J11" s="1"/>
      <c r="K11" s="24">
        <f>IF(AND(YEAR(АпрВс1+28)=Год,MONTH(АпрВс1+28)=4),АпрВс1+28, "")</f>
        <v>45040</v>
      </c>
      <c r="L11" s="19">
        <f>IF(AND(YEAR(АпрВс1+29)=Год,MONTH(АпрВс1+29)=4),АпрВс1+29, "")</f>
        <v>45041</v>
      </c>
      <c r="M11" s="19">
        <f>IF(AND(YEAR(АпрВс1+30)=Год,MONTH(АпрВс1+30)=4),АпрВс1+30, "")</f>
        <v>45042</v>
      </c>
      <c r="N11" s="19">
        <f>IF(AND(YEAR(АпрВс1+31)=Год,MONTH(АпрВс1+31)=4),АпрВс1+31, "")</f>
        <v>45043</v>
      </c>
      <c r="O11" s="19">
        <f>IF(AND(YEAR(АпрВс1+32)=Год,MONTH(АпрВс1+32)=4),АпрВс1+32, "")</f>
        <v>45044</v>
      </c>
      <c r="P11" s="24">
        <f>IF(AND(YEAR(АпрВс1+33)=Год,MONTH(АпрВс1+33)=4),АпрВс1+33, "")</f>
        <v>45045</v>
      </c>
      <c r="Q11" s="24">
        <f>IF(AND(YEAR(АпрВс1+34)=Год,MONTH(АпрВс1+34)=4),АпрВс1+34, "")</f>
        <v>45046</v>
      </c>
      <c r="R11" s="1"/>
      <c r="S11" s="19">
        <f>IF(AND(YEAR(ИюлВс1+28)=Год,MONTH(ИюлВс1+28)=7),ИюлВс1+28, "")</f>
        <v>45131</v>
      </c>
      <c r="T11" s="19">
        <f>IF(AND(YEAR(ИюлВс1+29)=Год,MONTH(ИюлВс1+29)=7),ИюлВс1+29, "")</f>
        <v>45132</v>
      </c>
      <c r="U11" s="19">
        <f>IF(AND(YEAR(ИюлВс1+30)=Год,MONTH(ИюлВс1+30)=7),ИюлВс1+30, "")</f>
        <v>45133</v>
      </c>
      <c r="V11" s="19">
        <f>IF(AND(YEAR(ИюлВс1+31)=Год,MONTH(ИюлВс1+31)=7),ИюлВс1+31, "")</f>
        <v>45134</v>
      </c>
      <c r="W11" s="19">
        <f>IF(AND(YEAR(ИюлВс1+32)=Год,MONTH(ИюлВс1+32)=7),ИюлВс1+32, "")</f>
        <v>45135</v>
      </c>
      <c r="X11" s="24">
        <f>IF(AND(YEAR(ИюлВс1+33)=Год,MONTH(ИюлВс1+33)=7),ИюлВс1+33, "")</f>
        <v>45136</v>
      </c>
      <c r="Y11" s="24">
        <f>IF(AND(YEAR(ИюлВс1+34)=Год,MONTH(ИюлВс1+34)=7),ИюлВс1+34, "")</f>
        <v>45137</v>
      </c>
      <c r="Z11" s="1"/>
      <c r="AA11" s="19">
        <f>IF(AND(YEAR(ОктВс1+28)=Год,MONTH(ОктВс1+28)=10),ОктВс1+28, "")</f>
        <v>45222</v>
      </c>
      <c r="AB11" s="19">
        <f>IF(AND(YEAR(ОктВс1+29)=Год,MONTH(ОктВс1+29)=10),ОктВс1+29, "")</f>
        <v>45223</v>
      </c>
      <c r="AC11" s="19">
        <f>IF(AND(YEAR(ОктВс1+30)=Год,MONTH(ОктВс1+30)=10),ОктВс1+30, "")</f>
        <v>45224</v>
      </c>
      <c r="AD11" s="19">
        <f>IF(AND(YEAR(ОктВс1+31)=Год,MONTH(ОктВс1+31)=10),ОктВс1+31, "")</f>
        <v>45225</v>
      </c>
      <c r="AE11" s="19">
        <f>IF(AND(YEAR(ОктВс1+32)=Год,MONTH(ОктВс1+32)=10),ОктВс1+32, "")</f>
        <v>45226</v>
      </c>
      <c r="AF11" s="24">
        <f>IF(AND(YEAR(ОктВс1+33)=Год,MONTH(ОктВс1+33)=10),ОктВс1+33, "")</f>
        <v>45227</v>
      </c>
      <c r="AG11" s="24">
        <f>IF(AND(YEAR(ОктВс1+34)=Год,MONTH(ОктВс1+34)=10),ОктВс1+34, "")</f>
        <v>45228</v>
      </c>
      <c r="AH11" s="9"/>
      <c r="AJ11" s="20" t="s">
        <v>22</v>
      </c>
      <c r="AK11" s="21"/>
      <c r="AM11" s="20" t="s">
        <v>21</v>
      </c>
      <c r="AN11" s="21"/>
    </row>
    <row r="12" spans="2:40" x14ac:dyDescent="0.2">
      <c r="B12" s="15"/>
      <c r="C12" s="19">
        <f>IF(AND(YEAR(ЯнвВс1+35)=Год,MONTH(ЯнвВс1+35)=1),ЯнвВс1+35, "")</f>
        <v>44956</v>
      </c>
      <c r="D12" s="19">
        <f>IF(AND(YEAR(ЯнвВс1+36)=Год,MONTH(ЯнвВс1+36)=1),ЯнвВс1+36, "")</f>
        <v>44957</v>
      </c>
      <c r="E12" s="19" t="str">
        <f>IF(AND(YEAR(ЯнвВс1+37)=Год,MONTH(ЯнвВс1+37)=1),ЯнвВс1+37, "")</f>
        <v/>
      </c>
      <c r="F12" s="19" t="str">
        <f>IF(AND(YEAR(ЯнвВс1+38)=Год,MONTH(ЯнвВс1+38)=1),ЯнвВс1+38, "")</f>
        <v/>
      </c>
      <c r="G12" s="19" t="str">
        <f>IF(AND(YEAR(ЯнвВс1+39)=Год,MONTH(ЯнвВс1+39)=1),ЯнвВс1+39, "")</f>
        <v/>
      </c>
      <c r="H12" s="19" t="str">
        <f>IF(AND(YEAR(ЯнвВс1+40)=Год,MONTH(ЯнвВс1+40)=1),ЯнвВс1+40, "")</f>
        <v/>
      </c>
      <c r="I12" s="19" t="str">
        <f>IF(AND(YEAR(ЯнвВс1+41)=Год,MONTH(ЯнвВс1+41)=1),ЯнвВс1+41, "")</f>
        <v/>
      </c>
      <c r="J12" s="16"/>
      <c r="K12" s="19" t="str">
        <f>IF(AND(YEAR(АпрВс1+35)=Год,MONTH(АпрВс1+35)=4),АпрВс1+35, "")</f>
        <v/>
      </c>
      <c r="L12" s="19" t="str">
        <f>IF(AND(YEAR(АпрВс1+36)=Год,MONTH(АпрВс1+36)=4),АпрВс1+36, "")</f>
        <v/>
      </c>
      <c r="M12" s="19" t="str">
        <f>IF(AND(YEAR(АпрВс1+37)=Год,MONTH(АпрВс1+37)=4),АпрВс1+37, "")</f>
        <v/>
      </c>
      <c r="N12" s="19" t="str">
        <f>IF(AND(YEAR(АпрВс1+38)=Год,MONTH(АпрВс1+38)=4),АпрВс1+38, "")</f>
        <v/>
      </c>
      <c r="O12" s="19" t="str">
        <f>IF(AND(YEAR(АпрВс1+39)=Год,MONTH(АпрВс1+39)=4),АпрВс1+39, "")</f>
        <v/>
      </c>
      <c r="P12" s="19" t="str">
        <f>IF(AND(YEAR(АпрВс1+40)=Год,MONTH(АпрВс1+40)=4),АпрВс1+40, "")</f>
        <v/>
      </c>
      <c r="Q12" s="19" t="str">
        <f>IF(AND(YEAR(АпрВс1+41)=Год,MONTH(АпрВс1+41)=4),АпрВс1+41, "")</f>
        <v/>
      </c>
      <c r="R12" s="16"/>
      <c r="S12" s="19">
        <f>IF(AND(YEAR(ИюлВс1+35)=Год,MONTH(ИюлВс1+35)=7),ИюлВс1+35, "")</f>
        <v>45138</v>
      </c>
      <c r="T12" s="19" t="str">
        <f>IF(AND(YEAR(ИюлВс1+36)=Год,MONTH(ИюлВс1+36)=7),ИюлВс1+36, "")</f>
        <v/>
      </c>
      <c r="U12" s="19" t="str">
        <f>IF(AND(YEAR(ИюлВс1+37)=Год,MONTH(ИюлВс1+37)=7),ИюлВс1+37, "")</f>
        <v/>
      </c>
      <c r="V12" s="19" t="str">
        <f>IF(AND(YEAR(ИюлВс1+38)=Год,MONTH(ИюлВс1+38)=7),ИюлВс1+38, "")</f>
        <v/>
      </c>
      <c r="W12" s="19" t="str">
        <f>IF(AND(YEAR(ИюлВс1+39)=Год,MONTH(ИюлВс1+39)=7),ИюлВс1+39, "")</f>
        <v/>
      </c>
      <c r="X12" s="19" t="str">
        <f>IF(AND(YEAR(ИюлВс1+40)=Год,MONTH(ИюлВс1+40)=7),ИюлВс1+40, "")</f>
        <v/>
      </c>
      <c r="Y12" s="19" t="str">
        <f>IF(AND(YEAR(ИюлВс1+41)=Год,MONTH(ИюлВс1+41)=7),ИюлВс1+41, "")</f>
        <v/>
      </c>
      <c r="Z12" s="16"/>
      <c r="AA12" s="19">
        <f>IF(AND(YEAR(ОктВс1+35)=Год,MONTH(ОктВс1+35)=10),ОктВс1+35, "")</f>
        <v>45229</v>
      </c>
      <c r="AB12" s="19">
        <f>IF(AND(YEAR(ОктВс1+36)=Год,MONTH(ОктВс1+36)=10),ОктВс1+36, "")</f>
        <v>45230</v>
      </c>
      <c r="AC12" s="19" t="str">
        <f>IF(AND(YEAR(ОктВс1+37)=Год,MONTH(ОктВс1+37)=10),ОктВс1+37, "")</f>
        <v/>
      </c>
      <c r="AD12" s="19" t="str">
        <f>IF(AND(YEAR(ОктВс1+38)=Год,MONTH(ОктВс1+38)=10),ОктВс1+38, "")</f>
        <v/>
      </c>
      <c r="AE12" s="19" t="str">
        <f>IF(AND(YEAR(ОктВс1+39)=Год,MONTH(ОктВс1+39)=10),ОктВс1+39, "")</f>
        <v/>
      </c>
      <c r="AF12" s="19" t="str">
        <f>IF(AND(YEAR(ОктВс1+40)=Год,MONTH(ОктВс1+40)=10),ОктВс1+40, "")</f>
        <v/>
      </c>
      <c r="AG12" s="19" t="str">
        <f>IF(AND(YEAR(ОктВс1+41)=Год,MONTH(ОктВс1+41)=10),ОктВс1+41, "")</f>
        <v/>
      </c>
      <c r="AH12" s="17"/>
      <c r="AN12" s="29"/>
    </row>
    <row r="13" spans="2:40" ht="3.75" customHeight="1" x14ac:dyDescent="0.2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</row>
    <row r="14" spans="2:40" ht="15" x14ac:dyDescent="0.2">
      <c r="B14" s="8"/>
      <c r="C14" s="31" t="s">
        <v>2</v>
      </c>
      <c r="D14" s="31"/>
      <c r="E14" s="31"/>
      <c r="F14" s="31"/>
      <c r="G14" s="31"/>
      <c r="H14" s="31"/>
      <c r="I14" s="31"/>
      <c r="J14" s="1"/>
      <c r="K14" s="31" t="s">
        <v>12</v>
      </c>
      <c r="L14" s="31"/>
      <c r="M14" s="31"/>
      <c r="N14" s="31"/>
      <c r="O14" s="31"/>
      <c r="P14" s="31"/>
      <c r="Q14" s="31"/>
      <c r="R14" s="1"/>
      <c r="S14" s="31" t="s">
        <v>15</v>
      </c>
      <c r="T14" s="31"/>
      <c r="U14" s="31"/>
      <c r="V14" s="31"/>
      <c r="W14" s="31"/>
      <c r="X14" s="31"/>
      <c r="Y14" s="31"/>
      <c r="Z14" s="1"/>
      <c r="AA14" s="31" t="s">
        <v>18</v>
      </c>
      <c r="AB14" s="31"/>
      <c r="AC14" s="31"/>
      <c r="AD14" s="31"/>
      <c r="AE14" s="31"/>
      <c r="AF14" s="31"/>
      <c r="AG14" s="31"/>
      <c r="AH14" s="9"/>
      <c r="AJ14" s="30"/>
      <c r="AK14" s="30"/>
    </row>
    <row r="15" spans="2:40" x14ac:dyDescent="0.2">
      <c r="B15" s="8"/>
      <c r="C15" s="3" t="s">
        <v>1</v>
      </c>
      <c r="D15" s="3" t="s">
        <v>4</v>
      </c>
      <c r="E15" s="3" t="s">
        <v>6</v>
      </c>
      <c r="F15" s="3" t="s">
        <v>5</v>
      </c>
      <c r="G15" s="3" t="s">
        <v>7</v>
      </c>
      <c r="H15" s="4" t="s">
        <v>8</v>
      </c>
      <c r="I15" s="4" t="s">
        <v>9</v>
      </c>
      <c r="J15" s="1"/>
      <c r="K15" s="3" t="s">
        <v>1</v>
      </c>
      <c r="L15" s="3" t="s">
        <v>4</v>
      </c>
      <c r="M15" s="3" t="s">
        <v>6</v>
      </c>
      <c r="N15" s="3" t="s">
        <v>5</v>
      </c>
      <c r="O15" s="3" t="s">
        <v>7</v>
      </c>
      <c r="P15" s="4" t="s">
        <v>8</v>
      </c>
      <c r="Q15" s="4" t="s">
        <v>9</v>
      </c>
      <c r="R15" s="1"/>
      <c r="S15" s="3" t="s">
        <v>1</v>
      </c>
      <c r="T15" s="3" t="s">
        <v>4</v>
      </c>
      <c r="U15" s="3" t="s">
        <v>6</v>
      </c>
      <c r="V15" s="3" t="s">
        <v>5</v>
      </c>
      <c r="W15" s="3" t="s">
        <v>7</v>
      </c>
      <c r="X15" s="4" t="s">
        <v>8</v>
      </c>
      <c r="Y15" s="4" t="s">
        <v>9</v>
      </c>
      <c r="Z15" s="1"/>
      <c r="AA15" s="3" t="s">
        <v>1</v>
      </c>
      <c r="AB15" s="3" t="s">
        <v>4</v>
      </c>
      <c r="AC15" s="3" t="s">
        <v>6</v>
      </c>
      <c r="AD15" s="3" t="s">
        <v>5</v>
      </c>
      <c r="AE15" s="3" t="s">
        <v>7</v>
      </c>
      <c r="AF15" s="4" t="s">
        <v>8</v>
      </c>
      <c r="AG15" s="4" t="s">
        <v>9</v>
      </c>
      <c r="AH15" s="9"/>
    </row>
    <row r="16" spans="2:40" x14ac:dyDescent="0.2">
      <c r="B16" s="8"/>
      <c r="C16" s="18" t="str">
        <f>IF(AND(YEAR(ФевВс1)=Год,MONTH(ФевВс1)=2),ФевВс1, "")</f>
        <v/>
      </c>
      <c r="D16" s="18" t="str">
        <f>IF(AND(YEAR(ФевВс1+1)=Год,MONTH(ФевВс1+1)=2),ФевВс1+1, "")</f>
        <v/>
      </c>
      <c r="E16" s="18">
        <f>IF(AND(YEAR(ФевВс1+2)=Год,MONTH(ФевВс1+2)=2),ФевВс1+2, "")</f>
        <v>44958</v>
      </c>
      <c r="F16" s="18">
        <f>IF(AND(YEAR(ФевВс1+3)=Год,MONTH(ФевВс1+3)=2),ФевВс1+3, "")</f>
        <v>44959</v>
      </c>
      <c r="G16" s="18">
        <f>IF(AND(YEAR(ФевВс1+4)=Год,MONTH(ФевВс1+4)=2),ФевВс1+4, "")</f>
        <v>44960</v>
      </c>
      <c r="H16" s="25">
        <f>IF(AND(YEAR(ФевВс1+5)=Год,MONTH(ФевВс1+5)=2),ФевВс1+5, "")</f>
        <v>44961</v>
      </c>
      <c r="I16" s="25">
        <f>IF(AND(YEAR(ФевВс1+6)=Год,MONTH(ФевВс1+6)=2),ФевВс1+6, "")</f>
        <v>44962</v>
      </c>
      <c r="J16" s="1"/>
      <c r="K16" s="25">
        <f>IF(AND(YEAR(МайВс1)=Год,MONTH(МайВс1)=5),МайВс1, "")</f>
        <v>45047</v>
      </c>
      <c r="L16" s="18">
        <f>IF(AND(YEAR(МайВс1+1)=Год,MONTH(МайВс1+1)=5),МайВс1+1, "")</f>
        <v>45048</v>
      </c>
      <c r="M16" s="18">
        <f>IF(AND(YEAR(МайВс1+2)=Год,MONTH(МайВс1+2)=5),МайВс1+2, "")</f>
        <v>45049</v>
      </c>
      <c r="N16" s="18">
        <f>IF(AND(YEAR(МайВс1+3)=Год,MONTH(МайВс1+3)=5),МайВс1+3, "")</f>
        <v>45050</v>
      </c>
      <c r="O16" s="18">
        <f>IF(AND(YEAR(МайВс1+4)=Год,MONTH(МайВс1+4)=5),МайВс1+4, "")</f>
        <v>45051</v>
      </c>
      <c r="P16" s="25">
        <f>IF(AND(YEAR(МайВс1+5)=Год,MONTH(МайВс1+5)=5),МайВс1+5, "")</f>
        <v>45052</v>
      </c>
      <c r="Q16" s="25">
        <f>IF(AND(YEAR(МайВс1+6)=Год,MONTH(МайВс1+6)=5),МайВс1+6, "")</f>
        <v>45053</v>
      </c>
      <c r="R16" s="1"/>
      <c r="S16" s="18" t="str">
        <f>IF(AND(YEAR(АвгВс1)=Год,MONTH(АвгВс1)=8),АвгВс1, "")</f>
        <v/>
      </c>
      <c r="T16" s="18">
        <f>IF(AND(YEAR(АвгВс1+1)=Год,MONTH(АвгВс1+1)=8),АвгВс1+1, "")</f>
        <v>45139</v>
      </c>
      <c r="U16" s="18">
        <f>IF(AND(YEAR(АвгВс1+2)=Год,MONTH(АвгВс1+2)=8),АвгВс1+2, "")</f>
        <v>45140</v>
      </c>
      <c r="V16" s="18">
        <f>IF(AND(YEAR(АвгВс1+3)=Год,MONTH(АвгВс1+3)=8),АвгВс1+3, "")</f>
        <v>45141</v>
      </c>
      <c r="W16" s="18">
        <f>IF(AND(YEAR(АвгВс1+4)=Год,MONTH(АвгВс1+4)=8),АвгВс1+4, "")</f>
        <v>45142</v>
      </c>
      <c r="X16" s="25">
        <f>IF(AND(YEAR(АвгВс1+5)=Год,MONTH(АвгВс1+5)=8),АвгВс1+5, "")</f>
        <v>45143</v>
      </c>
      <c r="Y16" s="25">
        <f>IF(AND(YEAR(АвгВс1+6)=Год,MONTH(АвгВс1+6)=8),АвгВс1+6, "")</f>
        <v>45144</v>
      </c>
      <c r="Z16" s="1"/>
      <c r="AA16" s="18" t="str">
        <f>IF(AND(YEAR(НояВс1)=Год,MONTH(НояВс1)=11),НояВс1, "")</f>
        <v/>
      </c>
      <c r="AB16" s="18" t="str">
        <f>IF(AND(YEAR(НояВс1+1)=Год,MONTH(НояВс1+1)=11),НояВс1+1, "")</f>
        <v/>
      </c>
      <c r="AC16" s="18">
        <f>IF(AND(YEAR(НояВс1+2)=Год,MONTH(НояВс1+2)=11),НояВс1+2, "")</f>
        <v>45231</v>
      </c>
      <c r="AD16" s="18">
        <f>IF(AND(YEAR(НояВс1+3)=Год,MONTH(НояВс1+3)=11),НояВс1+3, "")</f>
        <v>45232</v>
      </c>
      <c r="AE16" s="18">
        <f>IF(AND(YEAR(НояВс1+4)=Год,MONTH(НояВс1+4)=11),НояВс1+4, "")</f>
        <v>45233</v>
      </c>
      <c r="AF16" s="25">
        <f>IF(AND(YEAR(НояВс1+5)=Год,MONTH(НояВс1+5)=11),НояВс1+5, "")</f>
        <v>45234</v>
      </c>
      <c r="AG16" s="25">
        <f>IF(AND(YEAR(НояВс1+6)=Год,MONTH(НояВс1+6)=11),НояВс1+6, "")</f>
        <v>45235</v>
      </c>
      <c r="AH16" s="9"/>
    </row>
    <row r="17" spans="2:34" x14ac:dyDescent="0.2">
      <c r="B17" s="8"/>
      <c r="C17" s="19">
        <f>IF(AND(YEAR(ФевВс1+7)=Год,MONTH(ФевВс1+7)=2),ФевВс1+7, "")</f>
        <v>44963</v>
      </c>
      <c r="D17" s="19">
        <f>IF(AND(YEAR(ФевВс1+8)=Год,MONTH(ФевВс1+8)=2),ФевВс1+8, "")</f>
        <v>44964</v>
      </c>
      <c r="E17" s="19">
        <f>IF(AND(YEAR(ФевВс1+9)=Год,MONTH(ФевВс1+9)=2),ФевВс1+9, "")</f>
        <v>44965</v>
      </c>
      <c r="F17" s="19">
        <f>IF(AND(YEAR(ФевВс1+10)=Год,MONTH(ФевВс1+10)=2),ФевВс1+10, "")</f>
        <v>44966</v>
      </c>
      <c r="G17" s="19">
        <f>IF(AND(YEAR(ФевВс1+11)=Год,MONTH(ФевВс1+11)=2),ФевВс1+11, "")</f>
        <v>44967</v>
      </c>
      <c r="H17" s="24">
        <f>IF(AND(YEAR(ФевВс1+12)=Год,MONTH(ФевВс1+12)=2),ФевВс1+12, "")</f>
        <v>44968</v>
      </c>
      <c r="I17" s="24">
        <f>IF(AND(YEAR(ФевВс1+13)=Год,MONTH(ФевВс1+13)=2),ФевВс1+13, "")</f>
        <v>44969</v>
      </c>
      <c r="J17" s="1"/>
      <c r="K17" s="24">
        <f>IF(AND(YEAR(МайВс1+7)=Год,MONTH(МайВс1+7)=5),МайВс1+7, "")</f>
        <v>45054</v>
      </c>
      <c r="L17" s="24">
        <f>IF(AND(YEAR(МайВс1+8)=Год,MONTH(МайВс1+8)=5),МайВс1+8, "")</f>
        <v>45055</v>
      </c>
      <c r="M17" s="19">
        <f>IF(AND(YEAR(МайВс1+9)=Год,MONTH(МайВс1+9)=5),МайВс1+9, "")</f>
        <v>45056</v>
      </c>
      <c r="N17" s="19">
        <f>IF(AND(YEAR(МайВс1+10)=Год,MONTH(МайВс1+10)=5),МайВс1+10, "")</f>
        <v>45057</v>
      </c>
      <c r="O17" s="19">
        <f>IF(AND(YEAR(МайВс1+11)=Год,MONTH(МайВс1+11)=5),МайВс1+11, "")</f>
        <v>45058</v>
      </c>
      <c r="P17" s="24">
        <f>IF(AND(YEAR(МайВс1+12)=Год,MONTH(МайВс1+12)=5),МайВс1+12, "")</f>
        <v>45059</v>
      </c>
      <c r="Q17" s="24">
        <f>IF(AND(YEAR(МайВс1+13)=Год,MONTH(МайВс1+13)=5),МайВс1+13, "")</f>
        <v>45060</v>
      </c>
      <c r="R17" s="1"/>
      <c r="S17" s="19">
        <f>IF(AND(YEAR(АвгВс1+7)=Год,MONTH(АвгВс1+7)=8),АвгВс1+7, "")</f>
        <v>45145</v>
      </c>
      <c r="T17" s="19">
        <f>IF(AND(YEAR(АвгВс1+8)=Год,MONTH(АвгВс1+8)=8),АвгВс1+8, "")</f>
        <v>45146</v>
      </c>
      <c r="U17" s="19">
        <f>IF(AND(YEAR(АвгВс1+9)=Год,MONTH(АвгВс1+9)=8),АвгВс1+9, "")</f>
        <v>45147</v>
      </c>
      <c r="V17" s="19">
        <f>IF(AND(YEAR(АвгВс1+10)=Год,MONTH(АвгВс1+10)=8),АвгВс1+10, "")</f>
        <v>45148</v>
      </c>
      <c r="W17" s="19">
        <f>IF(AND(YEAR(АвгВс1+11)=Год,MONTH(АвгВс1+11)=8),АвгВс1+11, "")</f>
        <v>45149</v>
      </c>
      <c r="X17" s="24">
        <f>IF(AND(YEAR(АвгВс1+12)=Год,MONTH(АвгВс1+12)=8),АвгВс1+12, "")</f>
        <v>45150</v>
      </c>
      <c r="Y17" s="24">
        <f>IF(AND(YEAR(АвгВс1+13)=Год,MONTH(АвгВс1+13)=8),АвгВс1+13, "")</f>
        <v>45151</v>
      </c>
      <c r="Z17" s="1"/>
      <c r="AA17" s="24">
        <f>IF(AND(YEAR(НояВс1+7)=Год,MONTH(НояВс1+7)=11),НояВс1+7, "")</f>
        <v>45236</v>
      </c>
      <c r="AB17" s="19">
        <f>IF(AND(YEAR(НояВс1+8)=Год,MONTH(НояВс1+8)=11),НояВс1+8, "")</f>
        <v>45237</v>
      </c>
      <c r="AC17" s="19">
        <f>IF(AND(YEAR(НояВс1+9)=Год,MONTH(НояВс1+9)=11),НояВс1+9, "")</f>
        <v>45238</v>
      </c>
      <c r="AD17" s="19">
        <f>IF(AND(YEAR(НояВс1+10)=Год,MONTH(НояВс1+10)=11),НояВс1+10, "")</f>
        <v>45239</v>
      </c>
      <c r="AE17" s="19">
        <f>IF(AND(YEAR(НояВс1+11)=Год,MONTH(НояВс1+11)=11),НояВс1+11, "")</f>
        <v>45240</v>
      </c>
      <c r="AF17" s="24">
        <f>IF(AND(YEAR(НояВс1+12)=Год,MONTH(НояВс1+12)=11),НояВс1+12, "")</f>
        <v>45241</v>
      </c>
      <c r="AG17" s="24">
        <f>IF(AND(YEAR(НояВс1+13)=Год,MONTH(НояВс1+13)=11),НояВс1+13, "")</f>
        <v>45242</v>
      </c>
      <c r="AH17" s="9"/>
    </row>
    <row r="18" spans="2:34" x14ac:dyDescent="0.2">
      <c r="B18" s="8"/>
      <c r="C18" s="19">
        <f>IF(AND(YEAR(ФевВс1+14)=Год,MONTH(ФевВс1+14)=2),ФевВс1+14, "")</f>
        <v>44970</v>
      </c>
      <c r="D18" s="19">
        <f>IF(AND(YEAR(ФевВс1+15)=Год,MONTH(ФевВс1+15)=2),ФевВс1+15, "")</f>
        <v>44971</v>
      </c>
      <c r="E18" s="19">
        <f>IF(AND(YEAR(ФевВс1+16)=Год,MONTH(ФевВс1+16)=2),ФевВс1+16, "")</f>
        <v>44972</v>
      </c>
      <c r="F18" s="19">
        <f>IF(AND(YEAR(ФевВс1+17)=Год,MONTH(ФевВс1+17)=2),ФевВс1+17, "")</f>
        <v>44973</v>
      </c>
      <c r="G18" s="19">
        <f>IF(AND(YEAR(ФевВс1+18)=Год,MONTH(ФевВс1+18)=2),ФевВс1+18, "")</f>
        <v>44974</v>
      </c>
      <c r="H18" s="24">
        <f>IF(AND(YEAR(ФевВс1+19)=Год,MONTH(ФевВс1+19)=2),ФевВс1+19, "")</f>
        <v>44975</v>
      </c>
      <c r="I18" s="24">
        <f>IF(AND(YEAR(ФевВс1+20)=Год,MONTH(ФевВс1+20)=2),ФевВс1+20, "")</f>
        <v>44976</v>
      </c>
      <c r="J18" s="1"/>
      <c r="K18" s="19">
        <f>IF(AND(YEAR(МайВс1+14)=Год,MONTH(МайВс1+14)=5),МайВс1+14, "")</f>
        <v>45061</v>
      </c>
      <c r="L18" s="19">
        <f>IF(AND(YEAR(МайВс1+15)=Год,MONTH(МайВс1+15)=5),МайВс1+15, "")</f>
        <v>45062</v>
      </c>
      <c r="M18" s="19">
        <f>IF(AND(YEAR(МайВс1+16)=Год,MONTH(МайВс1+16)=5),МайВс1+16, "")</f>
        <v>45063</v>
      </c>
      <c r="N18" s="19">
        <f>IF(AND(YEAR(МайВс1+17)=Год,MONTH(МайВс1+17)=5),МайВс1+17, "")</f>
        <v>45064</v>
      </c>
      <c r="O18" s="19">
        <f>IF(AND(YEAR(МайВс1+18)=Год,MONTH(МайВс1+18)=5),МайВс1+18, "")</f>
        <v>45065</v>
      </c>
      <c r="P18" s="24">
        <f>IF(AND(YEAR(МайВс1+19)=Год,MONTH(МайВс1+19)=5),МайВс1+19, "")</f>
        <v>45066</v>
      </c>
      <c r="Q18" s="24">
        <f>IF(AND(YEAR(МайВс1+20)=Год,MONTH(МайВс1+20)=5),МайВс1+20, "")</f>
        <v>45067</v>
      </c>
      <c r="R18" s="1"/>
      <c r="S18" s="19">
        <f>IF(AND(YEAR(АвгВс1+14)=Год,MONTH(АвгВс1+14)=8),АвгВс1+14, "")</f>
        <v>45152</v>
      </c>
      <c r="T18" s="19">
        <f>IF(AND(YEAR(АвгВс1+15)=Год,MONTH(АвгВс1+15)=8),АвгВс1+15, "")</f>
        <v>45153</v>
      </c>
      <c r="U18" s="19">
        <f>IF(AND(YEAR(АвгВс1+16)=Год,MONTH(АвгВс1+16)=8),АвгВс1+16, "")</f>
        <v>45154</v>
      </c>
      <c r="V18" s="19">
        <f>IF(AND(YEAR(АвгВс1+17)=Год,MONTH(АвгВс1+17)=8),АвгВс1+17, "")</f>
        <v>45155</v>
      </c>
      <c r="W18" s="19">
        <f>IF(AND(YEAR(АвгВс1+18)=Год,MONTH(АвгВс1+18)=8),АвгВс1+18, "")</f>
        <v>45156</v>
      </c>
      <c r="X18" s="24">
        <f>IF(AND(YEAR(АвгВс1+19)=Год,MONTH(АвгВс1+19)=8),АвгВс1+19, "")</f>
        <v>45157</v>
      </c>
      <c r="Y18" s="24">
        <f>IF(AND(YEAR(АвгВс1+20)=Год,MONTH(АвгВс1+20)=8),АвгВс1+20, "")</f>
        <v>45158</v>
      </c>
      <c r="Z18" s="1"/>
      <c r="AA18" s="19">
        <f>IF(AND(YEAR(НояВс1+14)=Год,MONTH(НояВс1+14)=11),НояВс1+14, "")</f>
        <v>45243</v>
      </c>
      <c r="AB18" s="19">
        <f>IF(AND(YEAR(НояВс1+15)=Год,MONTH(НояВс1+15)=11),НояВс1+15, "")</f>
        <v>45244</v>
      </c>
      <c r="AC18" s="19">
        <f>IF(AND(YEAR(НояВс1+16)=Год,MONTH(НояВс1+16)=11),НояВс1+16, "")</f>
        <v>45245</v>
      </c>
      <c r="AD18" s="19">
        <f>IF(AND(YEAR(НояВс1+17)=Год,MONTH(НояВс1+17)=11),НояВс1+17, "")</f>
        <v>45246</v>
      </c>
      <c r="AE18" s="19">
        <f>IF(AND(YEAR(НояВс1+18)=Год,MONTH(НояВс1+18)=11),НояВс1+18, "")</f>
        <v>45247</v>
      </c>
      <c r="AF18" s="24">
        <f>IF(AND(YEAR(НояВс1+19)=Год,MONTH(НояВс1+19)=11),НояВс1+19, "")</f>
        <v>45248</v>
      </c>
      <c r="AG18" s="24">
        <f>IF(AND(YEAR(НояВс1+20)=Год,MONTH(НояВс1+20)=11),НояВс1+20, "")</f>
        <v>45249</v>
      </c>
      <c r="AH18" s="9"/>
    </row>
    <row r="19" spans="2:34" x14ac:dyDescent="0.2">
      <c r="B19" s="8"/>
      <c r="C19" s="19">
        <f>IF(AND(YEAR(ФевВс1+21)=Год,MONTH(ФевВс1+21)=2),ФевВс1+21, "")</f>
        <v>44977</v>
      </c>
      <c r="D19" s="19">
        <f>IF(AND(YEAR(ФевВс1+22)=Год,MONTH(ФевВс1+22)=2),ФевВс1+22, "")</f>
        <v>44978</v>
      </c>
      <c r="E19" s="19">
        <f>IF(AND(YEAR(ФевВс1+23)=Год,MONTH(ФевВс1+23)=2),ФевВс1+23, "")</f>
        <v>44979</v>
      </c>
      <c r="F19" s="24">
        <f>IF(AND(YEAR(ФевВс1+24)=Год,MONTH(ФевВс1+24)=2),ФевВс1+24, "")</f>
        <v>44980</v>
      </c>
      <c r="G19" s="24">
        <f>IF(AND(YEAR(ФевВс1+25)=Год,MONTH(ФевВс1+25)=2),ФевВс1+25, "")</f>
        <v>44981</v>
      </c>
      <c r="H19" s="24">
        <f>IF(AND(YEAR(ФевВс1+26)=Год,MONTH(ФевВс1+26)=2),ФевВс1+26, "")</f>
        <v>44982</v>
      </c>
      <c r="I19" s="24">
        <f>IF(AND(YEAR(ФевВс1+27)=Год,MONTH(ФевВс1+27)=2),ФевВс1+27, "")</f>
        <v>44983</v>
      </c>
      <c r="J19" s="1"/>
      <c r="K19" s="19">
        <f>IF(AND(YEAR(МайВс1+21)=Год,MONTH(МайВс1+21)=5),МайВс1+21, "")</f>
        <v>45068</v>
      </c>
      <c r="L19" s="19">
        <f>IF(AND(YEAR(МайВс1+22)=Год,MONTH(МайВс1+22)=5),МайВс1+22, "")</f>
        <v>45069</v>
      </c>
      <c r="M19" s="19">
        <f>IF(AND(YEAR(МайВс1+23)=Год,MONTH(МайВс1+23)=5),МайВс1+23, "")</f>
        <v>45070</v>
      </c>
      <c r="N19" s="19">
        <f>IF(AND(YEAR(МайВс1+24)=Год,MONTH(МайВс1+24)=5),МайВс1+24, "")</f>
        <v>45071</v>
      </c>
      <c r="O19" s="19">
        <f>IF(AND(YEAR(МайВс1+25)=Год,MONTH(МайВс1+25)=5),МайВс1+25, "")</f>
        <v>45072</v>
      </c>
      <c r="P19" s="24">
        <f>IF(AND(YEAR(МайВс1+26)=Год,MONTH(МайВс1+26)=5),МайВс1+26, "")</f>
        <v>45073</v>
      </c>
      <c r="Q19" s="24">
        <f>IF(AND(YEAR(МайВс1+27)=Год,MONTH(МайВс1+27)=5),МайВс1+27, "")</f>
        <v>45074</v>
      </c>
      <c r="R19" s="1"/>
      <c r="S19" s="19">
        <f>IF(AND(YEAR(АвгВс1+21)=Год,MONTH(АвгВс1+21)=8),АвгВс1+21, "")</f>
        <v>45159</v>
      </c>
      <c r="T19" s="19">
        <f>IF(AND(YEAR(АвгВс1+22)=Год,MONTH(АвгВс1+22)=8),АвгВс1+22, "")</f>
        <v>45160</v>
      </c>
      <c r="U19" s="19">
        <f>IF(AND(YEAR(АвгВс1+23)=Год,MONTH(АвгВс1+23)=8),АвгВс1+23, "")</f>
        <v>45161</v>
      </c>
      <c r="V19" s="19">
        <f>IF(AND(YEAR(АвгВс1+24)=Год,MONTH(АвгВс1+24)=8),АвгВс1+24, "")</f>
        <v>45162</v>
      </c>
      <c r="W19" s="19">
        <f>IF(AND(YEAR(АвгВс1+25)=Год,MONTH(АвгВс1+25)=8),АвгВс1+25, "")</f>
        <v>45163</v>
      </c>
      <c r="X19" s="24">
        <f>IF(AND(YEAR(АвгВс1+26)=Год,MONTH(АвгВс1+26)=8),АвгВс1+26, "")</f>
        <v>45164</v>
      </c>
      <c r="Y19" s="24">
        <f>IF(AND(YEAR(АвгВс1+27)=Год,MONTH(АвгВс1+27)=8),АвгВс1+27, "")</f>
        <v>45165</v>
      </c>
      <c r="Z19" s="1"/>
      <c r="AA19" s="19">
        <f>IF(AND(YEAR(НояВс1+21)=Год,MONTH(НояВс1+21)=11),НояВс1+21, "")</f>
        <v>45250</v>
      </c>
      <c r="AB19" s="19">
        <f>IF(AND(YEAR(НояВс1+22)=Год,MONTH(НояВс1+22)=11),НояВс1+22, "")</f>
        <v>45251</v>
      </c>
      <c r="AC19" s="19">
        <f>IF(AND(YEAR(НояВс1+23)=Год,MONTH(НояВс1+23)=11),НояВс1+23, "")</f>
        <v>45252</v>
      </c>
      <c r="AD19" s="19">
        <f>IF(AND(YEAR(НояВс1+24)=Год,MONTH(НояВс1+24)=11),НояВс1+24, "")</f>
        <v>45253</v>
      </c>
      <c r="AE19" s="19">
        <f>IF(AND(YEAR(НояВс1+25)=Год,MONTH(НояВс1+25)=11),НояВс1+25, "")</f>
        <v>45254</v>
      </c>
      <c r="AF19" s="24">
        <f>IF(AND(YEAR(НояВс1+26)=Год,MONTH(НояВс1+26)=11),НояВс1+26, "")</f>
        <v>45255</v>
      </c>
      <c r="AG19" s="24">
        <f>IF(AND(YEAR(НояВс1+27)=Год,MONTH(НояВс1+27)=11),НояВс1+27, "")</f>
        <v>45256</v>
      </c>
      <c r="AH19" s="9"/>
    </row>
    <row r="20" spans="2:34" x14ac:dyDescent="0.2">
      <c r="B20" s="8"/>
      <c r="C20" s="19">
        <f>IF(AND(YEAR(ФевВс1+28)=Год,MONTH(ФевВс1+28)=2),ФевВс1+28, "")</f>
        <v>44984</v>
      </c>
      <c r="D20" s="19">
        <f>IF(AND(YEAR(ФевВс1+29)=Год,MONTH(ФевВс1+29)=2),ФевВс1+29, "")</f>
        <v>44985</v>
      </c>
      <c r="E20" s="19" t="str">
        <f>IF(AND(YEAR(ФевВс1+30)=Год,MONTH(ФевВс1+30)=2),ФевВс1+30, "")</f>
        <v/>
      </c>
      <c r="F20" s="19" t="str">
        <f>IF(AND(YEAR(ФевВс1+31)=Год,MONTH(ФевВс1+31)=2),ФевВс1+31, "")</f>
        <v/>
      </c>
      <c r="G20" s="19" t="str">
        <f>IF(AND(YEAR(ФевВс1+32)=Год,MONTH(ФевВс1+32)=2),ФевВс1+32, "")</f>
        <v/>
      </c>
      <c r="H20" s="19" t="str">
        <f>IF(AND(YEAR(ФевВс1+33)=Год,MONTH(ФевВс1+33)=2),ФевВс1+33, "")</f>
        <v/>
      </c>
      <c r="I20" s="19" t="str">
        <f>IF(AND(YEAR(ФевВс1+34)=Год,MONTH(ФевВс1+34)=2),ФевВс1+34, "")</f>
        <v/>
      </c>
      <c r="J20" s="1"/>
      <c r="K20" s="19">
        <f>IF(AND(YEAR(МайВс1+28)=Год,MONTH(МайВс1+28)=5),МайВс1+28, "")</f>
        <v>45075</v>
      </c>
      <c r="L20" s="19">
        <f>IF(AND(YEAR(МайВс1+29)=Год,MONTH(МайВс1+29)=5),МайВс1+29, "")</f>
        <v>45076</v>
      </c>
      <c r="M20" s="19">
        <f>IF(AND(YEAR(МайВс1+30)=Год,MONTH(МайВс1+30)=5),МайВс1+30, "")</f>
        <v>45077</v>
      </c>
      <c r="N20" s="19" t="str">
        <f>IF(AND(YEAR(МайВс1+31)=Год,MONTH(МайВс1+31)=5),МайВс1+31, "")</f>
        <v/>
      </c>
      <c r="O20" s="19" t="str">
        <f>IF(AND(YEAR(МайВс1+32)=Год,MONTH(МайВс1+32)=5),МайВс1+32, "")</f>
        <v/>
      </c>
      <c r="P20" s="19" t="str">
        <f>IF(AND(YEAR(МайВс1+33)=Год,MONTH(МайВс1+33)=5),МайВс1+33, "")</f>
        <v/>
      </c>
      <c r="Q20" s="19" t="str">
        <f>IF(AND(YEAR(МайВс1+34)=Год,MONTH(МайВс1+34)=5),МайВс1+34, "")</f>
        <v/>
      </c>
      <c r="R20" s="1"/>
      <c r="S20" s="19">
        <f>IF(AND(YEAR(АвгВс1+28)=Год,MONTH(АвгВс1+28)=8),АвгВс1+28, "")</f>
        <v>45166</v>
      </c>
      <c r="T20" s="19">
        <f>IF(AND(YEAR(АвгВс1+29)=Год,MONTH(АвгВс1+29)=8),АвгВс1+29, "")</f>
        <v>45167</v>
      </c>
      <c r="U20" s="19">
        <f>IF(AND(YEAR(АвгВс1+30)=Год,MONTH(АвгВс1+30)=8),АвгВс1+30, "")</f>
        <v>45168</v>
      </c>
      <c r="V20" s="19">
        <f>IF(AND(YEAR(АвгВс1+31)=Год,MONTH(АвгВс1+31)=8),АвгВс1+31, "")</f>
        <v>45169</v>
      </c>
      <c r="W20" s="19" t="str">
        <f>IF(AND(YEAR(АвгВс1+32)=Год,MONTH(АвгВс1+32)=8),АвгВс1+32, "")</f>
        <v/>
      </c>
      <c r="X20" s="19" t="str">
        <f>IF(AND(YEAR(АвгВс1+33)=Год,MONTH(АвгВс1+33)=8),АвгВс1+33, "")</f>
        <v/>
      </c>
      <c r="Y20" s="19" t="str">
        <f>IF(AND(YEAR(АвгВс1+34)=Год,MONTH(АвгВс1+34)=8),АвгВс1+34, "")</f>
        <v/>
      </c>
      <c r="Z20" s="1"/>
      <c r="AA20" s="19">
        <f>IF(AND(YEAR(НояВс1+28)=Год,MONTH(НояВс1+28)=11),НояВс1+28, "")</f>
        <v>45257</v>
      </c>
      <c r="AB20" s="19">
        <f>IF(AND(YEAR(НояВс1+29)=Год,MONTH(НояВс1+29)=11),НояВс1+29, "")</f>
        <v>45258</v>
      </c>
      <c r="AC20" s="19">
        <f>IF(AND(YEAR(НояВс1+30)=Год,MONTH(НояВс1+30)=11),НояВс1+30, "")</f>
        <v>45259</v>
      </c>
      <c r="AD20" s="19">
        <f>IF(AND(YEAR(НояВс1+31)=Год,MONTH(НояВс1+31)=11),НояВс1+31, "")</f>
        <v>45260</v>
      </c>
      <c r="AE20" s="19" t="str">
        <f>IF(AND(YEAR(НояВс1+32)=Год,MONTH(НояВс1+32)=11),НояВс1+32, "")</f>
        <v/>
      </c>
      <c r="AF20" s="19" t="str">
        <f>IF(AND(YEAR(НояВс1+33)=Год,MONTH(НояВс1+33)=11),НояВс1+33, "")</f>
        <v/>
      </c>
      <c r="AG20" s="19" t="str">
        <f>IF(AND(YEAR(НояВс1+34)=Год,MONTH(НояВс1+34)=11),НояВс1+34, "")</f>
        <v/>
      </c>
      <c r="AH20" s="9"/>
    </row>
    <row r="21" spans="2:34" x14ac:dyDescent="0.2">
      <c r="B21" s="15"/>
      <c r="C21" s="19" t="str">
        <f>IF(AND(YEAR(ФевВс1+35)=Год,MONTH(ФевВс1+35)=2),ФевВс1+35, "")</f>
        <v/>
      </c>
      <c r="D21" s="19" t="str">
        <f>IF(AND(YEAR(ФевВс1+36)=Год,MONTH(ФевВс1+36)=2),ФевВс1+36, "")</f>
        <v/>
      </c>
      <c r="E21" s="19" t="str">
        <f>IF(AND(YEAR(ФевВс1+37)=Год,MONTH(ФевВс1+37)=2),ФевВс1+37, "")</f>
        <v/>
      </c>
      <c r="F21" s="19" t="str">
        <f>IF(AND(YEAR(ФевВс1+38)=Год,MONTH(ФевВс1+38)=2),ФевВс1+38, "")</f>
        <v/>
      </c>
      <c r="G21" s="19" t="str">
        <f>IF(AND(YEAR(ФевВс1+39)=Год,MONTH(ФевВс1+39)=2),ФевВс1+39, "")</f>
        <v/>
      </c>
      <c r="H21" s="19" t="str">
        <f>IF(AND(YEAR(ФевВс1+40)=Год,MONTH(ФевВс1+40)=2),ФевВс1+40, "")</f>
        <v/>
      </c>
      <c r="I21" s="19" t="str">
        <f>IF(AND(YEAR(ФевВс1+41)=Год,MONTH(ФевВс1+41)=2),ФевВс1+41, "")</f>
        <v/>
      </c>
      <c r="J21" s="16"/>
      <c r="K21" s="19" t="str">
        <f>IF(AND(YEAR(МайВс1+35)=Год,MONTH(МайВс1+35)=5),МайВс1+35, "")</f>
        <v/>
      </c>
      <c r="L21" s="19" t="str">
        <f>IF(AND(YEAR(МайВс1+36)=Год,MONTH(МайВс1+36)=5),МайВс1+36, "")</f>
        <v/>
      </c>
      <c r="M21" s="19" t="str">
        <f>IF(AND(YEAR(МайВс1+37)=Год,MONTH(МайВс1+37)=5),МайВс1+37, "")</f>
        <v/>
      </c>
      <c r="N21" s="19" t="str">
        <f>IF(AND(YEAR(МайВс1+38)=Год,MONTH(МайВс1+38)=5),МайВс1+38, "")</f>
        <v/>
      </c>
      <c r="O21" s="19" t="str">
        <f>IF(AND(YEAR(МайВс1+39)=Год,MONTH(МайВс1+39)=5),МайВс1+39, "")</f>
        <v/>
      </c>
      <c r="P21" s="19" t="str">
        <f>IF(AND(YEAR(МайВс1+40)=Год,MONTH(МайВс1+40)=5),МайВс1+40, "")</f>
        <v/>
      </c>
      <c r="Q21" s="19" t="str">
        <f>IF(AND(YEAR(МайВс1+41)=Год,MONTH(МайВс1+41)=5),МайВс1+41, "")</f>
        <v/>
      </c>
      <c r="R21" s="16"/>
      <c r="S21" s="19" t="str">
        <f>IF(AND(YEAR(АвгВс1+35)=Год,MONTH(АвгВс1+35)=8),АвгВс1+35, "")</f>
        <v/>
      </c>
      <c r="T21" s="19" t="str">
        <f>IF(AND(YEAR(АвгВс1+36)=Год,MONTH(АвгВс1+36)=8),АвгВс1+36, "")</f>
        <v/>
      </c>
      <c r="U21" s="19" t="str">
        <f>IF(AND(YEAR(АвгВс1+37)=Год,MONTH(АвгВс1+37)=8),АвгВс1+37, "")</f>
        <v/>
      </c>
      <c r="V21" s="19" t="str">
        <f>IF(AND(YEAR(АвгВс1+38)=Год,MONTH(АвгВс1+38)=8),АвгВс1+38, "")</f>
        <v/>
      </c>
      <c r="W21" s="19" t="str">
        <f>IF(AND(YEAR(АвгВс1+39)=Год,MONTH(АвгВс1+39)=8),АвгВс1+39, "")</f>
        <v/>
      </c>
      <c r="X21" s="19" t="str">
        <f>IF(AND(YEAR(АвгВс1+40)=Год,MONTH(АвгВс1+40)=8),АвгВс1+40, "")</f>
        <v/>
      </c>
      <c r="Y21" s="19" t="str">
        <f>IF(AND(YEAR(АвгВс1+41)=Год,MONTH(АвгВс1+41)=8),АвгВс1+41, "")</f>
        <v/>
      </c>
      <c r="Z21" s="16"/>
      <c r="AA21" s="19" t="str">
        <f>IF(AND(YEAR(НояВс1+35)=Год,MONTH(НояВс1+35)=11),НояВс1+35, "")</f>
        <v/>
      </c>
      <c r="AB21" s="19" t="str">
        <f>IF(AND(YEAR(НояВс1+36)=Год,MONTH(НояВс1+36)=11),НояВс1+36, "")</f>
        <v/>
      </c>
      <c r="AC21" s="19" t="str">
        <f>IF(AND(YEAR(НояВс1+37)=Год,MONTH(НояВс1+37)=11),НояВс1+37, "")</f>
        <v/>
      </c>
      <c r="AD21" s="19" t="str">
        <f>IF(AND(YEAR(НояВс1+38)=Год,MONTH(НояВс1+38)=11),НояВс1+38, "")</f>
        <v/>
      </c>
      <c r="AE21" s="19" t="str">
        <f>IF(AND(YEAR(НояВс1+39)=Год,MONTH(НояВс1+39)=11),НояВс1+39, "")</f>
        <v/>
      </c>
      <c r="AF21" s="19" t="str">
        <f>IF(AND(YEAR(НояВс1+40)=Год,MONTH(НояВс1+40)=11),НояВс1+40, "")</f>
        <v/>
      </c>
      <c r="AG21" s="19" t="str">
        <f>IF(AND(YEAR(НояВс1+41)=Год,MONTH(НояВс1+41)=11),НояВс1+41, "")</f>
        <v/>
      </c>
      <c r="AH21" s="17"/>
    </row>
    <row r="22" spans="2:34" ht="4.5" customHeight="1" x14ac:dyDescent="0.2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</row>
    <row r="23" spans="2:34" x14ac:dyDescent="0.2">
      <c r="B23" s="8"/>
      <c r="C23" s="31" t="s">
        <v>3</v>
      </c>
      <c r="D23" s="31"/>
      <c r="E23" s="31"/>
      <c r="F23" s="31"/>
      <c r="G23" s="31"/>
      <c r="H23" s="31"/>
      <c r="I23" s="31"/>
      <c r="J23" s="1"/>
      <c r="K23" s="31" t="s">
        <v>13</v>
      </c>
      <c r="L23" s="31"/>
      <c r="M23" s="31"/>
      <c r="N23" s="31"/>
      <c r="O23" s="31"/>
      <c r="P23" s="31"/>
      <c r="Q23" s="31"/>
      <c r="R23" s="1"/>
      <c r="S23" s="31" t="s">
        <v>16</v>
      </c>
      <c r="T23" s="31"/>
      <c r="U23" s="31"/>
      <c r="V23" s="31"/>
      <c r="W23" s="31"/>
      <c r="X23" s="31"/>
      <c r="Y23" s="31"/>
      <c r="Z23" s="1"/>
      <c r="AA23" s="31" t="s">
        <v>19</v>
      </c>
      <c r="AB23" s="31"/>
      <c r="AC23" s="31"/>
      <c r="AD23" s="31"/>
      <c r="AE23" s="31"/>
      <c r="AF23" s="31"/>
      <c r="AG23" s="31"/>
      <c r="AH23" s="9"/>
    </row>
    <row r="24" spans="2:34" x14ac:dyDescent="0.2">
      <c r="B24" s="8"/>
      <c r="C24" s="3" t="s">
        <v>1</v>
      </c>
      <c r="D24" s="3" t="s">
        <v>4</v>
      </c>
      <c r="E24" s="3" t="s">
        <v>6</v>
      </c>
      <c r="F24" s="3" t="s">
        <v>5</v>
      </c>
      <c r="G24" s="3" t="s">
        <v>7</v>
      </c>
      <c r="H24" s="4" t="s">
        <v>8</v>
      </c>
      <c r="I24" s="4" t="s">
        <v>9</v>
      </c>
      <c r="J24" s="1"/>
      <c r="K24" s="3" t="s">
        <v>1</v>
      </c>
      <c r="L24" s="3" t="s">
        <v>4</v>
      </c>
      <c r="M24" s="3" t="s">
        <v>6</v>
      </c>
      <c r="N24" s="3" t="s">
        <v>5</v>
      </c>
      <c r="O24" s="3" t="s">
        <v>7</v>
      </c>
      <c r="P24" s="4" t="s">
        <v>8</v>
      </c>
      <c r="Q24" s="4" t="s">
        <v>9</v>
      </c>
      <c r="R24" s="1"/>
      <c r="S24" s="3" t="s">
        <v>1</v>
      </c>
      <c r="T24" s="3" t="s">
        <v>4</v>
      </c>
      <c r="U24" s="3" t="s">
        <v>6</v>
      </c>
      <c r="V24" s="3" t="s">
        <v>5</v>
      </c>
      <c r="W24" s="3" t="s">
        <v>7</v>
      </c>
      <c r="X24" s="4" t="s">
        <v>8</v>
      </c>
      <c r="Y24" s="4" t="s">
        <v>9</v>
      </c>
      <c r="Z24" s="1"/>
      <c r="AA24" s="3" t="s">
        <v>1</v>
      </c>
      <c r="AB24" s="3" t="s">
        <v>4</v>
      </c>
      <c r="AC24" s="3" t="s">
        <v>6</v>
      </c>
      <c r="AD24" s="3" t="s">
        <v>5</v>
      </c>
      <c r="AE24" s="3" t="s">
        <v>7</v>
      </c>
      <c r="AF24" s="4" t="s">
        <v>8</v>
      </c>
      <c r="AG24" s="4" t="s">
        <v>9</v>
      </c>
      <c r="AH24" s="9"/>
    </row>
    <row r="25" spans="2:34" x14ac:dyDescent="0.2">
      <c r="B25" s="8"/>
      <c r="C25" s="18" t="str">
        <f>IF(AND(YEAR(МарВс1)=Год,MONTH(МарВс1)=3),МарВс1, "")</f>
        <v/>
      </c>
      <c r="D25" s="18" t="str">
        <f>IF(AND(YEAR(МарВс1+1)=Год,MONTH(МарВс1+1)=3),МарВс1+1, "")</f>
        <v/>
      </c>
      <c r="E25" s="18">
        <f>IF(AND(YEAR(МарВс1+2)=Год,MONTH(МарВс1+2)=3),МарВс1+2, "")</f>
        <v>44986</v>
      </c>
      <c r="F25" s="18">
        <f>IF(AND(YEAR(МарВс1+3)=Год,MONTH(МарВс1+3)=3),МарВс1+3, "")</f>
        <v>44987</v>
      </c>
      <c r="G25" s="18">
        <f>IF(AND(YEAR(МарВс1+4)=Год,MONTH(МарВс1+4)=3),МарВс1+4, "")</f>
        <v>44988</v>
      </c>
      <c r="H25" s="25">
        <f>IF(AND(YEAR(МарВс1+5)=Год,MONTH(МарВс1+5)=3),МарВс1+5, "")</f>
        <v>44989</v>
      </c>
      <c r="I25" s="25">
        <f>IF(AND(YEAR(МарВс1+6)=Год,MONTH(МарВс1+6)=3),МарВс1+6, "")</f>
        <v>44990</v>
      </c>
      <c r="J25" s="1"/>
      <c r="K25" s="18" t="str">
        <f>IF(AND(YEAR(ИюнВс1)=Год,MONTH(ИюнВс1)=6),ИюнВс1, "")</f>
        <v/>
      </c>
      <c r="L25" s="18" t="str">
        <f>IF(AND(YEAR(ИюнВс1+1)=Год,MONTH(ИюнВс1+1)=6),ИюнВс1+1, "")</f>
        <v/>
      </c>
      <c r="M25" s="18" t="str">
        <f>IF(AND(YEAR(ИюнВс1+2)=Год,MONTH(ИюнВс1+2)=6),ИюнВс1+2, "")</f>
        <v/>
      </c>
      <c r="N25" s="18">
        <f>IF(AND(YEAR(ИюнВс1+3)=Год,MONTH(ИюнВс1+3)=6),ИюнВс1+3, "")</f>
        <v>45078</v>
      </c>
      <c r="O25" s="18">
        <f>IF(AND(YEAR(ИюнВс1+4)=Год,MONTH(ИюнВс1+4)=6),ИюнВс1+4, "")</f>
        <v>45079</v>
      </c>
      <c r="P25" s="25">
        <f>IF(AND(YEAR(ИюнВс1+5)=Год,MONTH(ИюнВс1+5)=6),ИюнВс1+5, "")</f>
        <v>45080</v>
      </c>
      <c r="Q25" s="25">
        <f>IF(AND(YEAR(ИюнВс1+6)=Год,MONTH(ИюнВс1+6)=6),ИюнВс1+6, "")</f>
        <v>45081</v>
      </c>
      <c r="R25" s="1"/>
      <c r="S25" s="18" t="str">
        <f>IF(AND(YEAR(СенВс1)=Год,MONTH(СенВс1)=9),СенВс1, "")</f>
        <v/>
      </c>
      <c r="T25" s="18" t="str">
        <f>IF(AND(YEAR(СенВс1+1)=Год,MONTH(СенВс1+1)=9),СенВс1+1, "")</f>
        <v/>
      </c>
      <c r="U25" s="18" t="str">
        <f>IF(AND(YEAR(СенВс1+2)=Год,MONTH(СенВс1+2)=9),СенВс1+2, "")</f>
        <v/>
      </c>
      <c r="V25" s="18" t="str">
        <f>IF(AND(YEAR(СенВс1+3)=Год,MONTH(СенВс1+3)=9),СенВс1+3, "")</f>
        <v/>
      </c>
      <c r="W25" s="18">
        <f>IF(AND(YEAR(СенВс1+4)=Год,MONTH(СенВс1+4)=9),СенВс1+4, "")</f>
        <v>45170</v>
      </c>
      <c r="X25" s="25">
        <f>IF(AND(YEAR(СенВс1+5)=Год,MONTH(СенВс1+5)=9),СенВс1+5, "")</f>
        <v>45171</v>
      </c>
      <c r="Y25" s="25">
        <f>IF(AND(YEAR(СенВс1+6)=Год,MONTH(СенВс1+6)=9),СенВс1+6, "")</f>
        <v>45172</v>
      </c>
      <c r="Z25" s="1"/>
      <c r="AA25" s="18" t="str">
        <f>IF(AND(YEAR(ДекВс1)=Год,MONTH(ДекВс1)=12),ДекВс1, "")</f>
        <v/>
      </c>
      <c r="AB25" s="18" t="str">
        <f>IF(AND(YEAR(ДекВс1+1)=Год,MONTH(ДекВс1+1)=12),ДекВс1+1, "")</f>
        <v/>
      </c>
      <c r="AC25" s="18" t="str">
        <f>IF(AND(YEAR(ДекВс1+2)=Год,MONTH(ДекВс1+2)=12),ДекВс1+2, "")</f>
        <v/>
      </c>
      <c r="AD25" s="18" t="str">
        <f>IF(AND(YEAR(ДекВс1+3)=Год,MONTH(ДекВс1+3)=12),ДекВс1+3, "")</f>
        <v/>
      </c>
      <c r="AE25" s="18">
        <f>IF(AND(YEAR(ДекВс1+4)=Год,MONTH(ДекВс1+4)=12),ДекВс1+4, "")</f>
        <v>45261</v>
      </c>
      <c r="AF25" s="25">
        <f>IF(AND(YEAR(ДекВс1+5)=Год,MONTH(ДекВс1+5)=12),ДекВс1+5, "")</f>
        <v>45262</v>
      </c>
      <c r="AG25" s="25">
        <f>IF(AND(YEAR(ДекВс1+6)=Год,MONTH(ДекВс1+6)=12),ДекВс1+6, "")</f>
        <v>45263</v>
      </c>
      <c r="AH25" s="9"/>
    </row>
    <row r="26" spans="2:34" x14ac:dyDescent="0.2">
      <c r="B26" s="8"/>
      <c r="C26" s="19">
        <f>IF(AND(YEAR(МарВс1+7)=Год,MONTH(МарВс1+7)=3),МарВс1+7, "")</f>
        <v>44991</v>
      </c>
      <c r="D26" s="19">
        <f>IF(AND(YEAR(МарВс1+8)=Год,MONTH(МарВс1+8)=3),МарВс1+8, "")</f>
        <v>44992</v>
      </c>
      <c r="E26" s="24">
        <f>IF(AND(YEAR(МарВс1+9)=Год,MONTH(МарВс1+9)=3),МарВс1+9, "")</f>
        <v>44993</v>
      </c>
      <c r="F26" s="19">
        <f>IF(AND(YEAR(МарВс1+10)=Год,MONTH(МарВс1+10)=3),МарВс1+10, "")</f>
        <v>44994</v>
      </c>
      <c r="G26" s="19">
        <f>IF(AND(YEAR(МарВс1+11)=Год,MONTH(МарВс1+11)=3),МарВс1+11, "")</f>
        <v>44995</v>
      </c>
      <c r="H26" s="24">
        <f>IF(AND(YEAR(МарВс1+12)=Год,MONTH(МарВс1+12)=3),МарВс1+12, "")</f>
        <v>44996</v>
      </c>
      <c r="I26" s="24">
        <f>IF(AND(YEAR(МарВс1+13)=Год,MONTH(МарВс1+13)=3),МарВс1+13, "")</f>
        <v>44997</v>
      </c>
      <c r="J26" s="1"/>
      <c r="K26" s="19">
        <f>IF(AND(YEAR(ИюнВс1+7)=Год,MONTH(ИюнВс1+7)=6),ИюнВс1+7, "")</f>
        <v>45082</v>
      </c>
      <c r="L26" s="19">
        <f>IF(AND(YEAR(ИюнВс1+8)=Год,MONTH(ИюнВс1+8)=6),ИюнВс1+8, "")</f>
        <v>45083</v>
      </c>
      <c r="M26" s="19">
        <f>IF(AND(YEAR(ИюнВс1+9)=Год,MONTH(ИюнВс1+9)=6),ИюнВс1+9, "")</f>
        <v>45084</v>
      </c>
      <c r="N26" s="19">
        <f>IF(AND(YEAR(ИюнВс1+10)=Год,MONTH(ИюнВс1+10)=6),ИюнВс1+10, "")</f>
        <v>45085</v>
      </c>
      <c r="O26" s="19">
        <f>IF(AND(YEAR(ИюнВс1+11)=Год,MONTH(ИюнВс1+11)=6),ИюнВс1+11, "")</f>
        <v>45086</v>
      </c>
      <c r="P26" s="24">
        <f>IF(AND(YEAR(ИюнВс1+12)=Год,MONTH(ИюнВс1+12)=6),ИюнВс1+12, "")</f>
        <v>45087</v>
      </c>
      <c r="Q26" s="24">
        <f>IF(AND(YEAR(ИюнВс1+13)=Год,MONTH(ИюнВс1+13)=6),ИюнВс1+13, "")</f>
        <v>45088</v>
      </c>
      <c r="R26" s="1"/>
      <c r="S26" s="19">
        <f>IF(AND(YEAR(СенВс1+7)=Год,MONTH(СенВс1+7)=9),СенВс1+7, "")</f>
        <v>45173</v>
      </c>
      <c r="T26" s="19">
        <f>IF(AND(YEAR(СенВс1+8)=Год,MONTH(СенВс1+8)=9),СенВс1+8, "")</f>
        <v>45174</v>
      </c>
      <c r="U26" s="19">
        <f>IF(AND(YEAR(СенВс1+9)=Год,MONTH(СенВс1+9)=9),СенВс1+9, "")</f>
        <v>45175</v>
      </c>
      <c r="V26" s="19">
        <f>IF(AND(YEAR(СенВс1+10)=Год,MONTH(СенВс1+10)=9),СенВс1+10, "")</f>
        <v>45176</v>
      </c>
      <c r="W26" s="19">
        <f>IF(AND(YEAR(СенВс1+11)=Год,MONTH(СенВс1+11)=9),СенВс1+11, "")</f>
        <v>45177</v>
      </c>
      <c r="X26" s="24">
        <f>IF(AND(YEAR(СенВс1+12)=Год,MONTH(СенВс1+12)=9),СенВс1+12, "")</f>
        <v>45178</v>
      </c>
      <c r="Y26" s="24">
        <f>IF(AND(YEAR(СенВс1+13)=Год,MONTH(СенВс1+13)=9),СенВс1+13, "")</f>
        <v>45179</v>
      </c>
      <c r="Z26" s="1"/>
      <c r="AA26" s="19">
        <f>IF(AND(YEAR(ДекВс1+7)=Год,MONTH(ДекВс1+7)=12),ДекВс1+7, "")</f>
        <v>45264</v>
      </c>
      <c r="AB26" s="19">
        <f>IF(AND(YEAR(ДекВс1+8)=Год,MONTH(ДекВс1+8)=12),ДекВс1+8, "")</f>
        <v>45265</v>
      </c>
      <c r="AC26" s="19">
        <f>IF(AND(YEAR(ДекВс1+9)=Год,MONTH(ДекВс1+9)=12),ДекВс1+9, "")</f>
        <v>45266</v>
      </c>
      <c r="AD26" s="19">
        <f>IF(AND(YEAR(ДекВс1+10)=Год,MONTH(ДекВс1+10)=12),ДекВс1+10, "")</f>
        <v>45267</v>
      </c>
      <c r="AE26" s="19">
        <f>IF(AND(YEAR(ДекВс1+11)=Год,MONTH(ДекВс1+11)=12),ДекВс1+11, "")</f>
        <v>45268</v>
      </c>
      <c r="AF26" s="24">
        <f>IF(AND(YEAR(ДекВс1+12)=Год,MONTH(ДекВс1+12)=12),ДекВс1+12, "")</f>
        <v>45269</v>
      </c>
      <c r="AG26" s="24">
        <f>IF(AND(YEAR(ДекВс1+13)=Год,MONTH(ДекВс1+13)=12),ДекВс1+13, "")</f>
        <v>45270</v>
      </c>
      <c r="AH26" s="9"/>
    </row>
    <row r="27" spans="2:34" x14ac:dyDescent="0.2">
      <c r="B27" s="8"/>
      <c r="C27" s="19">
        <f>IF(AND(YEAR(МарВс1+14)=Год,MONTH(МарВс1+14)=3),МарВс1+14, "")</f>
        <v>44998</v>
      </c>
      <c r="D27" s="19">
        <f>IF(AND(YEAR(МарВс1+15)=Год,MONTH(МарВс1+15)=3),МарВс1+15, "")</f>
        <v>44999</v>
      </c>
      <c r="E27" s="19">
        <f>IF(AND(YEAR(МарВс1+16)=Год,MONTH(МарВс1+16)=3),МарВс1+16, "")</f>
        <v>45000</v>
      </c>
      <c r="F27" s="19">
        <f>IF(AND(YEAR(МарВс1+17)=Год,MONTH(МарВс1+17)=3),МарВс1+17, "")</f>
        <v>45001</v>
      </c>
      <c r="G27" s="19">
        <f>IF(AND(YEAR(МарВс1+18)=Год,MONTH(МарВс1+18)=3),МарВс1+18, "")</f>
        <v>45002</v>
      </c>
      <c r="H27" s="24">
        <f>IF(AND(YEAR(МарВс1+19)=Год,MONTH(МарВс1+19)=3),МарВс1+19, "")</f>
        <v>45003</v>
      </c>
      <c r="I27" s="24">
        <f>IF(AND(YEAR(МарВс1+20)=Год,MONTH(МарВс1+20)=3),МарВс1+20, "")</f>
        <v>45004</v>
      </c>
      <c r="J27" s="1"/>
      <c r="K27" s="24">
        <f>IF(AND(YEAR(ИюнВс1+14)=Год,MONTH(ИюнВс1+14)=6),ИюнВс1+14, "")</f>
        <v>45089</v>
      </c>
      <c r="L27" s="19">
        <f>IF(AND(YEAR(ИюнВс1+15)=Год,MONTH(ИюнВс1+15)=6),ИюнВс1+15, "")</f>
        <v>45090</v>
      </c>
      <c r="M27" s="19">
        <f>IF(AND(YEAR(ИюнВс1+16)=Год,MONTH(ИюнВс1+16)=6),ИюнВс1+16, "")</f>
        <v>45091</v>
      </c>
      <c r="N27" s="19">
        <f>IF(AND(YEAR(ИюнВс1+17)=Год,MONTH(ИюнВс1+17)=6),ИюнВс1+17, "")</f>
        <v>45092</v>
      </c>
      <c r="O27" s="19">
        <f>IF(AND(YEAR(ИюнВс1+18)=Год,MONTH(ИюнВс1+18)=6),ИюнВс1+18, "")</f>
        <v>45093</v>
      </c>
      <c r="P27" s="24">
        <f>IF(AND(YEAR(ИюнВс1+19)=Год,MONTH(ИюнВс1+19)=6),ИюнВс1+19, "")</f>
        <v>45094</v>
      </c>
      <c r="Q27" s="24">
        <f>IF(AND(YEAR(ИюнВс1+20)=Год,MONTH(ИюнВс1+20)=6),ИюнВс1+20, "")</f>
        <v>45095</v>
      </c>
      <c r="R27" s="1"/>
      <c r="S27" s="19">
        <f>IF(AND(YEAR(СенВс1+14)=Год,MONTH(СенВс1+14)=9),СенВс1+14, "")</f>
        <v>45180</v>
      </c>
      <c r="T27" s="19">
        <f>IF(AND(YEAR(СенВс1+15)=Год,MONTH(СенВс1+15)=9),СенВс1+15, "")</f>
        <v>45181</v>
      </c>
      <c r="U27" s="19">
        <f>IF(AND(YEAR(СенВс1+16)=Год,MONTH(СенВс1+16)=9),СенВс1+16, "")</f>
        <v>45182</v>
      </c>
      <c r="V27" s="19">
        <f>IF(AND(YEAR(СенВс1+17)=Год,MONTH(СенВс1+17)=9),СенВс1+17, "")</f>
        <v>45183</v>
      </c>
      <c r="W27" s="19">
        <f>IF(AND(YEAR(СенВс1+18)=Год,MONTH(СенВс1+18)=9),СенВс1+18, "")</f>
        <v>45184</v>
      </c>
      <c r="X27" s="24">
        <f>IF(AND(YEAR(СенВс1+19)=Год,MONTH(СенВс1+19)=9),СенВс1+19, "")</f>
        <v>45185</v>
      </c>
      <c r="Y27" s="24">
        <f>IF(AND(YEAR(СенВс1+20)=Год,MONTH(СенВс1+20)=9),СенВс1+20, "")</f>
        <v>45186</v>
      </c>
      <c r="Z27" s="1"/>
      <c r="AA27" s="19">
        <f>IF(AND(YEAR(ДекВс1+14)=Год,MONTH(ДекВс1+14)=12),ДекВс1+14, "")</f>
        <v>45271</v>
      </c>
      <c r="AB27" s="19">
        <f>IF(AND(YEAR(ДекВс1+15)=Год,MONTH(ДекВс1+15)=12),ДекВс1+15, "")</f>
        <v>45272</v>
      </c>
      <c r="AC27" s="19">
        <f>IF(AND(YEAR(ДекВс1+16)=Год,MONTH(ДекВс1+16)=12),ДекВс1+16, "")</f>
        <v>45273</v>
      </c>
      <c r="AD27" s="19">
        <f>IF(AND(YEAR(ДекВс1+17)=Год,MONTH(ДекВс1+17)=12),ДекВс1+17, "")</f>
        <v>45274</v>
      </c>
      <c r="AE27" s="19">
        <f>IF(AND(YEAR(ДекВс1+18)=Год,MONTH(ДекВс1+18)=12),ДекВс1+18, "")</f>
        <v>45275</v>
      </c>
      <c r="AF27" s="24">
        <f>IF(AND(YEAR(ДекВс1+19)=Год,MONTH(ДекВс1+19)=12),ДекВс1+19, "")</f>
        <v>45276</v>
      </c>
      <c r="AG27" s="24">
        <f>IF(AND(YEAR(ДекВс1+20)=Год,MONTH(ДекВс1+20)=12),ДекВс1+20, "")</f>
        <v>45277</v>
      </c>
      <c r="AH27" s="9"/>
    </row>
    <row r="28" spans="2:34" x14ac:dyDescent="0.2">
      <c r="B28" s="8"/>
      <c r="C28" s="19">
        <f>IF(AND(YEAR(МарВс1+21)=Год,MONTH(МарВс1+21)=3),МарВс1+21, "")</f>
        <v>45005</v>
      </c>
      <c r="D28" s="19">
        <f>IF(AND(YEAR(МарВс1+22)=Год,MONTH(МарВс1+22)=3),МарВс1+22, "")</f>
        <v>45006</v>
      </c>
      <c r="E28" s="19">
        <f>IF(AND(YEAR(МарВс1+23)=Год,MONTH(МарВс1+23)=3),МарВс1+23, "")</f>
        <v>45007</v>
      </c>
      <c r="F28" s="19">
        <f>IF(AND(YEAR(МарВс1+24)=Год,MONTH(МарВс1+24)=3),МарВс1+24, "")</f>
        <v>45008</v>
      </c>
      <c r="G28" s="19">
        <f>IF(AND(YEAR(МарВс1+25)=Год,MONTH(МарВс1+25)=3),МарВс1+25, "")</f>
        <v>45009</v>
      </c>
      <c r="H28" s="24">
        <f>IF(AND(YEAR(МарВс1+26)=Год,MONTH(МарВс1+26)=3),МарВс1+26, "")</f>
        <v>45010</v>
      </c>
      <c r="I28" s="24">
        <f>IF(AND(YEAR(МарВс1+27)=Год,MONTH(МарВс1+27)=3),МарВс1+27, "")</f>
        <v>45011</v>
      </c>
      <c r="J28" s="1"/>
      <c r="K28" s="19">
        <f>IF(AND(YEAR(ИюнВс1+21)=Год,MONTH(ИюнВс1+21)=6),ИюнВс1+21, "")</f>
        <v>45096</v>
      </c>
      <c r="L28" s="19">
        <f>IF(AND(YEAR(ИюнВс1+22)=Год,MONTH(ИюнВс1+22)=6),ИюнВс1+22, "")</f>
        <v>45097</v>
      </c>
      <c r="M28" s="19">
        <f>IF(AND(YEAR(ИюнВс1+23)=Год,MONTH(ИюнВс1+23)=6),ИюнВс1+23, "")</f>
        <v>45098</v>
      </c>
      <c r="N28" s="19">
        <f>IF(AND(YEAR(ИюнВс1+24)=Год,MONTH(ИюнВс1+24)=6),ИюнВс1+24, "")</f>
        <v>45099</v>
      </c>
      <c r="O28" s="19">
        <f>IF(AND(YEAR(ИюнВс1+25)=Год,MONTH(ИюнВс1+25)=6),ИюнВс1+25, "")</f>
        <v>45100</v>
      </c>
      <c r="P28" s="24">
        <f>IF(AND(YEAR(ИюнВс1+26)=Год,MONTH(ИюнВс1+26)=6),ИюнВс1+26, "")</f>
        <v>45101</v>
      </c>
      <c r="Q28" s="24">
        <f>IF(AND(YEAR(ИюнВс1+27)=Год,MONTH(ИюнВс1+27)=6),ИюнВс1+27, "")</f>
        <v>45102</v>
      </c>
      <c r="R28" s="1"/>
      <c r="S28" s="19">
        <f>IF(AND(YEAR(СенВс1+21)=Год,MONTH(СенВс1+21)=9),СенВс1+21, "")</f>
        <v>45187</v>
      </c>
      <c r="T28" s="19">
        <f>IF(AND(YEAR(СенВс1+22)=Год,MONTH(СенВс1+22)=9),СенВс1+22, "")</f>
        <v>45188</v>
      </c>
      <c r="U28" s="19">
        <f>IF(AND(YEAR(СенВс1+23)=Год,MONTH(СенВс1+23)=9),СенВс1+23, "")</f>
        <v>45189</v>
      </c>
      <c r="V28" s="19">
        <f>IF(AND(YEAR(СенВс1+24)=Год,MONTH(СенВс1+24)=9),СенВс1+24, "")</f>
        <v>45190</v>
      </c>
      <c r="W28" s="19">
        <f>IF(AND(YEAR(СенВс1+25)=Год,MONTH(СенВс1+25)=9),СенВс1+25, "")</f>
        <v>45191</v>
      </c>
      <c r="X28" s="24">
        <f>IF(AND(YEAR(СенВс1+26)=Год,MONTH(СенВс1+26)=9),СенВс1+26, "")</f>
        <v>45192</v>
      </c>
      <c r="Y28" s="24">
        <f>IF(AND(YEAR(СенВс1+27)=Год,MONTH(СенВс1+27)=9),СенВс1+27, "")</f>
        <v>45193</v>
      </c>
      <c r="Z28" s="1"/>
      <c r="AA28" s="19">
        <f>IF(AND(YEAR(ДекВс1+21)=Год,MONTH(ДекВс1+21)=12),ДекВс1+21, "")</f>
        <v>45278</v>
      </c>
      <c r="AB28" s="19">
        <f>IF(AND(YEAR(ДекВс1+22)=Год,MONTH(ДекВс1+22)=12),ДекВс1+22, "")</f>
        <v>45279</v>
      </c>
      <c r="AC28" s="19">
        <f>IF(AND(YEAR(ДекВс1+23)=Год,MONTH(ДекВс1+23)=12),ДекВс1+23, "")</f>
        <v>45280</v>
      </c>
      <c r="AD28" s="19">
        <f>IF(AND(YEAR(ДекВс1+24)=Год,MONTH(ДекВс1+24)=12),ДекВс1+24, "")</f>
        <v>45281</v>
      </c>
      <c r="AE28" s="19">
        <f>IF(AND(YEAR(ДекВс1+25)=Год,MONTH(ДекВс1+25)=12),ДекВс1+25, "")</f>
        <v>45282</v>
      </c>
      <c r="AF28" s="24">
        <f>IF(AND(YEAR(ДекВс1+26)=Год,MONTH(ДекВс1+26)=12),ДекВс1+26, "")</f>
        <v>45283</v>
      </c>
      <c r="AG28" s="24">
        <f>IF(AND(YEAR(ДекВс1+27)=Год,MONTH(ДекВс1+27)=12),ДекВс1+27, "")</f>
        <v>45284</v>
      </c>
      <c r="AH28" s="9"/>
    </row>
    <row r="29" spans="2:34" x14ac:dyDescent="0.2">
      <c r="B29" s="8"/>
      <c r="C29" s="19">
        <f>IF(AND(YEAR(МарВс1+28)=Год,MONTH(МарВс1+28)=3),МарВс1+28, "")</f>
        <v>45012</v>
      </c>
      <c r="D29" s="19">
        <f>IF(AND(YEAR(МарВс1+29)=Год,MONTH(МарВс1+29)=3),МарВс1+29, "")</f>
        <v>45013</v>
      </c>
      <c r="E29" s="19">
        <f>IF(AND(YEAR(МарВс1+30)=Год,MONTH(МарВс1+30)=3),МарВс1+30, "")</f>
        <v>45014</v>
      </c>
      <c r="F29" s="19">
        <f>IF(AND(YEAR(МарВс1+31)=Год,MONTH(МарВс1+31)=3),МарВс1+31, "")</f>
        <v>45015</v>
      </c>
      <c r="G29" s="19">
        <f>IF(AND(YEAR(МарВс1+32)=Год,MONTH(МарВс1+32)=3),МарВс1+32, "")</f>
        <v>45016</v>
      </c>
      <c r="H29" s="19" t="str">
        <f>IF(AND(YEAR(МарВс1+33)=Год,MONTH(МарВс1+33)=3),МарВс1+33, "")</f>
        <v/>
      </c>
      <c r="I29" s="19" t="str">
        <f>IF(AND(YEAR(МарВс1+34)=Год,MONTH(МарВс1+34)=3),МарВс1+34, "")</f>
        <v/>
      </c>
      <c r="J29" s="1"/>
      <c r="K29" s="19">
        <f>IF(AND(YEAR(ИюнВс1+28)=Год,MONTH(ИюнВс1+28)=6),ИюнВс1+28, "")</f>
        <v>45103</v>
      </c>
      <c r="L29" s="19">
        <f>IF(AND(YEAR(ИюнВс1+29)=Год,MONTH(ИюнВс1+29)=6),ИюнВс1+29, "")</f>
        <v>45104</v>
      </c>
      <c r="M29" s="19">
        <f>IF(AND(YEAR(ИюнВс1+30)=Год,MONTH(ИюнВс1+30)=6),ИюнВс1+30, "")</f>
        <v>45105</v>
      </c>
      <c r="N29" s="19">
        <f>IF(AND(YEAR(ИюнВс1+31)=Год,MONTH(ИюнВс1+31)=6),ИюнВс1+31, "")</f>
        <v>45106</v>
      </c>
      <c r="O29" s="19">
        <f>IF(AND(YEAR(ИюнВс1+32)=Год,MONTH(ИюнВс1+32)=6),ИюнВс1+32, "")</f>
        <v>45107</v>
      </c>
      <c r="P29" s="19" t="str">
        <f>IF(AND(YEAR(ИюнВс1+33)=Год,MONTH(ИюнВс1+33)=6),ИюнВс1+33, "")</f>
        <v/>
      </c>
      <c r="Q29" s="19" t="str">
        <f>IF(AND(YEAR(ИюнВс1+34)=Год,MONTH(ИюнВс1+34)=6),ИюнВс1+34, "")</f>
        <v/>
      </c>
      <c r="R29" s="1"/>
      <c r="S29" s="19">
        <f>IF(AND(YEAR(СенВс1+28)=Год,MONTH(СенВс1+28)=9),СенВс1+28, "")</f>
        <v>45194</v>
      </c>
      <c r="T29" s="19">
        <f>IF(AND(YEAR(СенВс1+29)=Год,MONTH(СенВс1+29)=9),СенВс1+29, "")</f>
        <v>45195</v>
      </c>
      <c r="U29" s="19">
        <f>IF(AND(YEAR(СенВс1+30)=Год,MONTH(СенВс1+30)=9),СенВс1+30, "")</f>
        <v>45196</v>
      </c>
      <c r="V29" s="19">
        <f>IF(AND(YEAR(СенВс1+31)=Год,MONTH(СенВс1+31)=9),СенВс1+31, "")</f>
        <v>45197</v>
      </c>
      <c r="W29" s="19">
        <f>IF(AND(YEAR(СенВс1+32)=Год,MONTH(СенВс1+32)=9),СенВс1+32, "")</f>
        <v>45198</v>
      </c>
      <c r="X29" s="24">
        <f>IF(AND(YEAR(СенВс1+33)=Год,MONTH(СенВс1+33)=9),СенВс1+33, "")</f>
        <v>45199</v>
      </c>
      <c r="Y29" s="19" t="str">
        <f>IF(AND(YEAR(СенВс1+34)=Год,MONTH(СенВс1+34)=9),СенВс1+34, "")</f>
        <v/>
      </c>
      <c r="Z29" s="1"/>
      <c r="AA29" s="19">
        <f>IF(AND(YEAR(ДекВс1+28)=Год,MONTH(ДекВс1+28)=12),ДекВс1+28, "")</f>
        <v>45285</v>
      </c>
      <c r="AB29" s="19">
        <f>IF(AND(YEAR(ДекВс1+29)=Год,MONTH(ДекВс1+29)=12),ДекВс1+29, "")</f>
        <v>45286</v>
      </c>
      <c r="AC29" s="19">
        <f>IF(AND(YEAR(ДекВс1+30)=Год,MONTH(ДекВс1+30)=12),ДекВс1+30, "")</f>
        <v>45287</v>
      </c>
      <c r="AD29" s="19">
        <f>IF(AND(YEAR(ДекВс1+31)=Год,MONTH(ДекВс1+31)=12),ДекВс1+31, "")</f>
        <v>45288</v>
      </c>
      <c r="AE29" s="19">
        <f>IF(AND(YEAR(ДекВс1+32)=Год,MONTH(ДекВс1+32)=12),ДекВс1+32, "")</f>
        <v>45289</v>
      </c>
      <c r="AF29" s="24">
        <f>IF(AND(YEAR(ДекВс1+33)=Год,MONTH(ДекВс1+33)=12),ДекВс1+33, "")</f>
        <v>45290</v>
      </c>
      <c r="AG29" s="24">
        <f>IF(AND(YEAR(ДекВс1+34)=Год,MONTH(ДекВс1+34)=12),ДекВс1+34, "")</f>
        <v>45291</v>
      </c>
      <c r="AH29" s="9"/>
    </row>
    <row r="30" spans="2:34" x14ac:dyDescent="0.2">
      <c r="B30" s="8"/>
      <c r="C30" s="19" t="str">
        <f>IF(AND(YEAR(МарВс1+35)=Год,MONTH(МарВс1+35)=3),МарВс1+35, "")</f>
        <v/>
      </c>
      <c r="D30" s="19" t="str">
        <f>IF(AND(YEAR(МарВс1+36)=Год,MONTH(МарВс1+36)=3),МарВс1+36, "")</f>
        <v/>
      </c>
      <c r="E30" s="19" t="str">
        <f>IF(AND(YEAR(МарВс1+37)=Год,MONTH(МарВс1+37)=3),МарВс1+37, "")</f>
        <v/>
      </c>
      <c r="F30" s="19" t="str">
        <f>IF(AND(YEAR(МарВс1+38)=Год,MONTH(МарВс1+38)=3),МарВс1+38, "")</f>
        <v/>
      </c>
      <c r="G30" s="19" t="str">
        <f>IF(AND(YEAR(МарВс1+39)=Год,MONTH(МарВс1+39)=3),МарВс1+39, "")</f>
        <v/>
      </c>
      <c r="H30" s="19" t="str">
        <f>IF(AND(YEAR(МарВс1+40)=Год,MONTH(МарВс1+40)=3),МарВс1+40, "")</f>
        <v/>
      </c>
      <c r="I30" s="19" t="str">
        <f>IF(AND(YEAR(МарВс1+41)=Год,MONTH(МарВс1+41)=3),МарВс1+41, "")</f>
        <v/>
      </c>
      <c r="J30" s="2"/>
      <c r="K30" s="19" t="str">
        <f>IF(AND(YEAR(ИюнВс1+35)=Год,MONTH(ИюнВс1+35)=6),ИюнВс1+35, "")</f>
        <v/>
      </c>
      <c r="L30" s="19" t="str">
        <f>IF(AND(YEAR(ИюнВс1+36)=Год,MONTH(ИюнВс1+36)=6),ИюнВс1+36, "")</f>
        <v/>
      </c>
      <c r="M30" s="19" t="str">
        <f>IF(AND(YEAR(ИюнВс1+37)=Год,MONTH(ИюнВс1+37)=6),ИюнВс1+37, "")</f>
        <v/>
      </c>
      <c r="N30" s="19" t="str">
        <f>IF(AND(YEAR(ИюнВс1+38)=Год,MONTH(ИюнВс1+38)=6),ИюнВс1+38, "")</f>
        <v/>
      </c>
      <c r="O30" s="19" t="str">
        <f>IF(AND(YEAR(ИюнВс1+39)=Год,MONTH(ИюнВс1+39)=6),ИюнВс1+39, "")</f>
        <v/>
      </c>
      <c r="P30" s="19" t="str">
        <f>IF(AND(YEAR(ИюнВс1+40)=Год,MONTH(ИюнВс1+40)=6),ИюнВс1+40, "")</f>
        <v/>
      </c>
      <c r="Q30" s="19" t="str">
        <f>IF(AND(YEAR(ИюнВс1+41)=Год,MONTH(ИюнВс1+41)=6),ИюнВс1+41, "")</f>
        <v/>
      </c>
      <c r="R30" s="2"/>
      <c r="S30" s="19" t="str">
        <f>IF(AND(YEAR(СенВс1+35)=Год,MONTH(СенВс1+35)=9),СенВс1+35, "")</f>
        <v/>
      </c>
      <c r="T30" s="19" t="str">
        <f>IF(AND(YEAR(СенВс1+36)=Год,MONTH(СенВс1+36)=9),СенВс1+36, "")</f>
        <v/>
      </c>
      <c r="U30" s="19" t="str">
        <f>IF(AND(YEAR(СенВс1+37)=Год,MONTH(СенВс1+37)=9),СенВс1+37, "")</f>
        <v/>
      </c>
      <c r="V30" s="19" t="str">
        <f>IF(AND(YEAR(СенВс1+38)=Год,MONTH(СенВс1+38)=9),СенВс1+38, "")</f>
        <v/>
      </c>
      <c r="W30" s="19" t="str">
        <f>IF(AND(YEAR(СенВс1+39)=Год,MONTH(СенВс1+39)=9),СенВс1+39, "")</f>
        <v/>
      </c>
      <c r="X30" s="19" t="str">
        <f>IF(AND(YEAR(СенВс1+40)=Год,MONTH(СенВс1+40)=9),СенВс1+40, "")</f>
        <v/>
      </c>
      <c r="Y30" s="19" t="str">
        <f>IF(AND(YEAR(СенВс1+41)=Год,MONTH(СенВс1+41)=9),СенВс1+41, "")</f>
        <v/>
      </c>
      <c r="Z30" s="2"/>
      <c r="AA30" s="19" t="str">
        <f>IF(AND(YEAR(ДекВс1+35)=Год,MONTH(ДекВс1+35)=12),ДекВс1+35, "")</f>
        <v/>
      </c>
      <c r="AB30" s="19" t="str">
        <f>IF(AND(YEAR(ДекВс1+36)=Год,MONTH(ДекВс1+36)=12),ДекВс1+36, "")</f>
        <v/>
      </c>
      <c r="AC30" s="19" t="str">
        <f>IF(AND(YEAR(ДекВс1+37)=Год,MONTH(ДекВс1+37)=12),ДекВс1+37, "")</f>
        <v/>
      </c>
      <c r="AD30" s="19" t="str">
        <f>IF(AND(YEAR(ДекВс1+38)=Год,MONTH(ДекВс1+38)=12),ДекВс1+38, "")</f>
        <v/>
      </c>
      <c r="AE30" s="19" t="str">
        <f>IF(AND(YEAR(ДекВс1+39)=Год,MONTH(ДекВс1+39)=12),ДекВс1+39, "")</f>
        <v/>
      </c>
      <c r="AF30" s="19" t="str">
        <f>IF(AND(YEAR(ДекВс1+40)=Год,MONTH(ДекВс1+40)=12),ДекВс1+40, "")</f>
        <v/>
      </c>
      <c r="AG30" s="19" t="str">
        <f>IF(AND(YEAR(ДекВс1+41)=Год,MONTH(ДекВс1+41)=12),ДекВс1+41, "")</f>
        <v/>
      </c>
      <c r="AH30" s="9"/>
    </row>
    <row r="31" spans="2:34" ht="13.5" customHeight="1" thickBot="1" x14ac:dyDescent="0.25"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2"/>
    </row>
    <row r="32" spans="2:34" ht="13.5" thickTop="1" x14ac:dyDescent="0.2"/>
  </sheetData>
  <mergeCells count="18">
    <mergeCell ref="AM3:AN3"/>
    <mergeCell ref="AM8:AN8"/>
    <mergeCell ref="AJ8:AK8"/>
    <mergeCell ref="AJ3:AK3"/>
    <mergeCell ref="B2:AH3"/>
    <mergeCell ref="C5:I5"/>
    <mergeCell ref="K5:Q5"/>
    <mergeCell ref="S5:Y5"/>
    <mergeCell ref="AA5:AG5"/>
    <mergeCell ref="C14:I14"/>
    <mergeCell ref="K14:Q14"/>
    <mergeCell ref="S14:Y14"/>
    <mergeCell ref="AA14:AG14"/>
    <mergeCell ref="AJ14:AK14"/>
    <mergeCell ref="C23:I23"/>
    <mergeCell ref="K23:Q23"/>
    <mergeCell ref="S23:Y23"/>
    <mergeCell ref="AA23:AG23"/>
  </mergeCells>
  <conditionalFormatting sqref="C5:AG30">
    <cfRule type="containsErrors" dxfId="7" priority="13">
      <formula>ISERROR(C5)</formula>
    </cfRule>
    <cfRule type="containsBlanks" dxfId="6" priority="14">
      <formula>LEN(TRIM(C5))=0</formula>
    </cfRule>
  </conditionalFormatting>
  <dataValidations count="1">
    <dataValidation type="whole" allowBlank="1" showInputMessage="1" showErrorMessage="1" errorTitle="Недопустимый год" error="Введите год от 1900 до 9999 или найдите нужный год с помощью полосы прокрутки." sqref="B2:AH3">
      <formula1>1900</formula1>
      <formula2>9999</formula2>
    </dataValidation>
  </dataValidations>
  <printOptions horizontalCentered="1" verticalCentered="1"/>
  <pageMargins left="0.5" right="0.5" top="0.5" bottom="0.5" header="0.3" footer="0.3"/>
  <pageSetup paperSize="9" orientation="landscape" horizontalDpi="300" verticalDpi="300" r:id="rId1"/>
  <drawing r:id="rId2"/>
  <legacyDrawing r:id="rId3"/>
  <controls>
    <mc:AlternateContent xmlns:mc="http://schemas.openxmlformats.org/markup-compatibility/2006">
      <mc:Choice Requires="x14">
        <control shapeId="2049" r:id="rId4" name="ПолосаПрокрутки1">
          <controlPr print="0" autoFill="0" autoLine="0" altText="" linkedCell="B2" r:id="rId5">
            <anchor>
              <from>
                <xdr:col>1</xdr:col>
                <xdr:colOff>19050</xdr:colOff>
                <xdr:row>0</xdr:row>
                <xdr:rowOff>66675</xdr:rowOff>
              </from>
              <to>
                <xdr:col>7</xdr:col>
                <xdr:colOff>85725</xdr:colOff>
                <xdr:row>0</xdr:row>
                <xdr:rowOff>238125</xdr:rowOff>
              </to>
            </anchor>
          </controlPr>
        </control>
      </mc:Choice>
      <mc:Fallback>
        <control shapeId="2049" r:id="rId4" name="ПолосаПрокрутки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AN32"/>
  <sheetViews>
    <sheetView showGridLines="0" zoomScale="70" zoomScaleNormal="70" workbookViewId="0">
      <selection activeCell="AQ15" sqref="AQ15"/>
    </sheetView>
  </sheetViews>
  <sheetFormatPr defaultColWidth="9.140625" defaultRowHeight="12.75" x14ac:dyDescent="0.2"/>
  <cols>
    <col min="1" max="5" width="3.28515625" style="13" customWidth="1"/>
    <col min="6" max="6" width="3.42578125" style="13" customWidth="1"/>
    <col min="7" max="17" width="3" style="13" customWidth="1"/>
    <col min="18" max="18" width="3.140625" style="13" customWidth="1"/>
    <col min="19" max="25" width="3" style="13" customWidth="1"/>
    <col min="26" max="26" width="2.7109375" style="13" customWidth="1"/>
    <col min="27" max="33" width="3" style="13" customWidth="1"/>
    <col min="34" max="34" width="3.28515625" style="13" customWidth="1"/>
    <col min="35" max="35" width="9.85546875" style="13" customWidth="1"/>
    <col min="36" max="36" width="11.7109375" style="13" customWidth="1"/>
    <col min="37" max="37" width="16.5703125" style="13" customWidth="1"/>
    <col min="38" max="38" width="9.140625" style="13"/>
    <col min="39" max="39" width="18.42578125" style="13" customWidth="1"/>
    <col min="40" max="40" width="19.42578125" style="13" customWidth="1"/>
    <col min="41" max="16384" width="9.140625" style="13"/>
  </cols>
  <sheetData>
    <row r="1" spans="2:40" ht="24" customHeight="1" x14ac:dyDescent="0.2">
      <c r="I1" s="14" t="s">
        <v>10</v>
      </c>
    </row>
    <row r="2" spans="2:40" x14ac:dyDescent="0.2">
      <c r="B2" s="32">
        <v>2024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2:40" ht="27" customHeight="1" thickBot="1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J3" s="30" t="s">
        <v>23</v>
      </c>
      <c r="AK3" s="30"/>
      <c r="AM3" s="30" t="s">
        <v>26</v>
      </c>
      <c r="AN3" s="30"/>
    </row>
    <row r="4" spans="2:40" ht="14.25" customHeight="1" thickTop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  <c r="AJ4" s="20" t="s">
        <v>20</v>
      </c>
      <c r="AK4" s="22"/>
      <c r="AM4" s="20" t="s">
        <v>21</v>
      </c>
      <c r="AN4" s="21"/>
    </row>
    <row r="5" spans="2:40" ht="15" x14ac:dyDescent="0.2">
      <c r="B5" s="8"/>
      <c r="C5" s="31" t="s">
        <v>0</v>
      </c>
      <c r="D5" s="31"/>
      <c r="E5" s="31"/>
      <c r="F5" s="31"/>
      <c r="G5" s="31"/>
      <c r="H5" s="31"/>
      <c r="I5" s="31"/>
      <c r="J5" s="1"/>
      <c r="K5" s="31" t="s">
        <v>11</v>
      </c>
      <c r="L5" s="31"/>
      <c r="M5" s="31"/>
      <c r="N5" s="31"/>
      <c r="O5" s="31"/>
      <c r="P5" s="31"/>
      <c r="Q5" s="31"/>
      <c r="R5" s="1"/>
      <c r="S5" s="31" t="s">
        <v>14</v>
      </c>
      <c r="T5" s="31"/>
      <c r="U5" s="31"/>
      <c r="V5" s="31"/>
      <c r="W5" s="31"/>
      <c r="X5" s="31"/>
      <c r="Y5" s="31"/>
      <c r="Z5" s="1"/>
      <c r="AA5" s="31" t="s">
        <v>17</v>
      </c>
      <c r="AB5" s="31"/>
      <c r="AC5" s="31"/>
      <c r="AD5" s="31"/>
      <c r="AE5" s="31"/>
      <c r="AF5" s="31"/>
      <c r="AG5" s="31"/>
      <c r="AH5" s="9"/>
      <c r="AJ5" s="20" t="s">
        <v>21</v>
      </c>
      <c r="AK5" s="22"/>
      <c r="AM5" s="20" t="s">
        <v>25</v>
      </c>
      <c r="AN5" s="21"/>
    </row>
    <row r="6" spans="2:40" ht="15" x14ac:dyDescent="0.2">
      <c r="B6" s="8"/>
      <c r="C6" s="3" t="s">
        <v>1</v>
      </c>
      <c r="D6" s="3" t="s">
        <v>4</v>
      </c>
      <c r="E6" s="3" t="s">
        <v>6</v>
      </c>
      <c r="F6" s="3" t="s">
        <v>5</v>
      </c>
      <c r="G6" s="3" t="s">
        <v>7</v>
      </c>
      <c r="H6" s="4" t="s">
        <v>8</v>
      </c>
      <c r="I6" s="4" t="s">
        <v>9</v>
      </c>
      <c r="J6" s="1"/>
      <c r="K6" s="3" t="s">
        <v>1</v>
      </c>
      <c r="L6" s="3" t="s">
        <v>4</v>
      </c>
      <c r="M6" s="3" t="s">
        <v>6</v>
      </c>
      <c r="N6" s="3" t="s">
        <v>5</v>
      </c>
      <c r="O6" s="3" t="s">
        <v>7</v>
      </c>
      <c r="P6" s="4" t="s">
        <v>8</v>
      </c>
      <c r="Q6" s="4" t="s">
        <v>9</v>
      </c>
      <c r="R6" s="1"/>
      <c r="S6" s="3" t="s">
        <v>1</v>
      </c>
      <c r="T6" s="3" t="s">
        <v>4</v>
      </c>
      <c r="U6" s="3" t="s">
        <v>6</v>
      </c>
      <c r="V6" s="3" t="s">
        <v>5</v>
      </c>
      <c r="W6" s="3" t="s">
        <v>7</v>
      </c>
      <c r="X6" s="4" t="s">
        <v>8</v>
      </c>
      <c r="Y6" s="4" t="s">
        <v>9</v>
      </c>
      <c r="Z6" s="1"/>
      <c r="AA6" s="3" t="s">
        <v>1</v>
      </c>
      <c r="AB6" s="3" t="s">
        <v>4</v>
      </c>
      <c r="AC6" s="3" t="s">
        <v>6</v>
      </c>
      <c r="AD6" s="3" t="s">
        <v>5</v>
      </c>
      <c r="AE6" s="3" t="s">
        <v>7</v>
      </c>
      <c r="AF6" s="4" t="s">
        <v>8</v>
      </c>
      <c r="AG6" s="4" t="s">
        <v>9</v>
      </c>
      <c r="AH6" s="9"/>
      <c r="AJ6" s="20" t="s">
        <v>22</v>
      </c>
      <c r="AK6" s="21"/>
      <c r="AM6" s="20" t="s">
        <v>21</v>
      </c>
      <c r="AN6" s="21"/>
    </row>
    <row r="7" spans="2:40" ht="15" x14ac:dyDescent="0.2">
      <c r="B7" s="8"/>
      <c r="C7" s="25">
        <f>IF(AND(YEAR(ЯнвВс1)=Год,MONTH(ЯнвВс1)=1),ЯнвВс1, "")</f>
        <v>45292</v>
      </c>
      <c r="D7" s="25">
        <f>IF(AND(YEAR(ЯнвВс1+1)=Год,MONTH(ЯнвВс1+1)=1),ЯнвВс1+1, "")</f>
        <v>45293</v>
      </c>
      <c r="E7" s="25">
        <f>IF(AND(YEAR(ЯнвВс1+2)=Год,MONTH(ЯнвВс1+2)=1),ЯнвВс1+2, "")</f>
        <v>45294</v>
      </c>
      <c r="F7" s="25">
        <f>IF(AND(YEAR(ЯнвВс1+3)=Год,MONTH(ЯнвВс1+3)=1),ЯнвВс1+3, "")</f>
        <v>45295</v>
      </c>
      <c r="G7" s="25">
        <f>IF(AND(YEAR(ЯнвВс1+4)=Год,MONTH(ЯнвВс1+4)=1),ЯнвВс1+4, "")</f>
        <v>45296</v>
      </c>
      <c r="H7" s="25">
        <f>IF(AND(YEAR(ЯнвВс1+5)=Год,MONTH(ЯнвВс1+5)=1),ЯнвВс1+5, "")</f>
        <v>45297</v>
      </c>
      <c r="I7" s="25">
        <f>IF(AND(YEAR(ЯнвВс1+6)=Год,MONTH(ЯнвВс1+6)=1),ЯнвВс1+6, "")</f>
        <v>45298</v>
      </c>
      <c r="J7" s="1"/>
      <c r="K7" s="18">
        <f>IF(AND(YEAR(АпрВс1)=Год,MONTH(АпрВс1)=4),АпрВс1, "")</f>
        <v>45383</v>
      </c>
      <c r="L7" s="18">
        <f>IF(AND(YEAR(АпрВс1+1)=Год,MONTH(АпрВс1+1)=4),АпрВс1+1, "")</f>
        <v>45384</v>
      </c>
      <c r="M7" s="18">
        <f>IF(AND(YEAR(АпрВс1+2)=Год,MONTH(АпрВс1+2)=4),АпрВс1+2, "")</f>
        <v>45385</v>
      </c>
      <c r="N7" s="18">
        <f>IF(AND(YEAR(АпрВс1+3)=Год,MONTH(АпрВс1+3)=4),АпрВс1+3, "")</f>
        <v>45386</v>
      </c>
      <c r="O7" s="18">
        <f>IF(AND(YEAR(АпрВс1+4)=Год,MONTH(АпрВс1+4)=4),АпрВс1+4, "")</f>
        <v>45387</v>
      </c>
      <c r="P7" s="25">
        <f>IF(AND(YEAR(АпрВс1+5)=Год,MONTH(АпрВс1+5)=4),АпрВс1+5, "")</f>
        <v>45388</v>
      </c>
      <c r="Q7" s="25">
        <f>IF(AND(YEAR(АпрВс1+6)=Год,MONTH(АпрВс1+6)=4),АпрВс1+6, "")</f>
        <v>45389</v>
      </c>
      <c r="R7" s="1"/>
      <c r="S7" s="18">
        <f>IF(AND(YEAR(ИюлВс1)=Год,MONTH(ИюлВс1)=7),ИюлВс1, "")</f>
        <v>45474</v>
      </c>
      <c r="T7" s="18">
        <f>IF(AND(YEAR(ИюлВс1+1)=Год,MONTH(ИюлВс1+1)=7),ИюлВс1+1, "")</f>
        <v>45475</v>
      </c>
      <c r="U7" s="18">
        <f>IF(AND(YEAR(ИюлВс1+2)=Год,MONTH(ИюлВс1+2)=7),ИюлВс1+2, "")</f>
        <v>45476</v>
      </c>
      <c r="V7" s="18">
        <f>IF(AND(YEAR(ИюлВс1+3)=Год,MONTH(ИюлВс1+3)=7),ИюлВс1+3, "")</f>
        <v>45477</v>
      </c>
      <c r="W7" s="18">
        <f>IF(AND(YEAR(ИюлВс1+4)=Год,MONTH(ИюлВс1+4)=7),ИюлВс1+4, "")</f>
        <v>45478</v>
      </c>
      <c r="X7" s="25">
        <f>IF(AND(YEAR(ИюлВс1+5)=Год,MONTH(ИюлВс1+5)=7),ИюлВс1+5, "")</f>
        <v>45479</v>
      </c>
      <c r="Y7" s="25">
        <f>IF(AND(YEAR(ИюлВс1+6)=Год,MONTH(ИюлВс1+6)=7),ИюлВс1+6, "")</f>
        <v>45480</v>
      </c>
      <c r="Z7" s="1"/>
      <c r="AA7" s="18" t="str">
        <f>IF(AND(YEAR(ОктВс1)=Год,MONTH(ОктВс1)=10),ОктВс1, "")</f>
        <v/>
      </c>
      <c r="AB7" s="18">
        <f>IF(AND(YEAR(ОктВс1+1)=Год,MONTH(ОктВс1+1)=10),ОктВс1+1, "")</f>
        <v>45566</v>
      </c>
      <c r="AC7" s="18">
        <f>IF(AND(YEAR(ОктВс1+2)=Год,MONTH(ОктВс1+2)=10),ОктВс1+2, "")</f>
        <v>45567</v>
      </c>
      <c r="AD7" s="18">
        <f>IF(AND(YEAR(ОктВс1+3)=Год,MONTH(ОктВс1+3)=10),ОктВс1+3, "")</f>
        <v>45568</v>
      </c>
      <c r="AE7" s="18">
        <f>IF(AND(YEAR(ОктВс1+4)=Год,MONTH(ОктВс1+4)=10),ОктВс1+4, "")</f>
        <v>45569</v>
      </c>
      <c r="AF7" s="25">
        <f>IF(AND(YEAR(ОктВс1+5)=Год,MONTH(ОктВс1+5)=10),ОктВс1+5, "")</f>
        <v>45570</v>
      </c>
      <c r="AG7" s="25">
        <f>IF(AND(YEAR(ОктВс1+6)=Год,MONTH(ОктВс1+6)=10),ОктВс1+6, "")</f>
        <v>45571</v>
      </c>
      <c r="AH7" s="9"/>
      <c r="AM7" s="20"/>
      <c r="AN7" s="20"/>
    </row>
    <row r="8" spans="2:40" ht="15" x14ac:dyDescent="0.2">
      <c r="B8" s="8"/>
      <c r="C8" s="24">
        <f>IF(AND(YEAR(ЯнвВс1+7)=Год,MONTH(ЯнвВс1+7)=1),ЯнвВс1+7, "")</f>
        <v>45299</v>
      </c>
      <c r="D8" s="19">
        <f>IF(AND(YEAR(ЯнвВс1+8)=Год,MONTH(ЯнвВс1+8)=1),ЯнвВс1+8, "")</f>
        <v>45300</v>
      </c>
      <c r="E8" s="19">
        <f>IF(AND(YEAR(ЯнвВс1+9)=Год,MONTH(ЯнвВс1+9)=1),ЯнвВс1+9, "")</f>
        <v>45301</v>
      </c>
      <c r="F8" s="19">
        <f>IF(AND(YEAR(ЯнвВс1+10)=Год,MONTH(ЯнвВс1+10)=1),ЯнвВс1+10, "")</f>
        <v>45302</v>
      </c>
      <c r="G8" s="19">
        <f>IF(AND(YEAR(ЯнвВс1+11)=Год,MONTH(ЯнвВс1+11)=1),ЯнвВс1+11, "")</f>
        <v>45303</v>
      </c>
      <c r="H8" s="24">
        <f>IF(AND(YEAR(ЯнвВс1+12)=Год,MONTH(ЯнвВс1+12)=1),ЯнвВс1+12, "")</f>
        <v>45304</v>
      </c>
      <c r="I8" s="24">
        <f>IF(AND(YEAR(ЯнвВс1+13)=Год,MONTH(ЯнвВс1+13)=1),ЯнвВс1+13, "")</f>
        <v>45305</v>
      </c>
      <c r="J8" s="1"/>
      <c r="K8" s="19">
        <f>IF(AND(YEAR(АпрВс1+7)=Год,MONTH(АпрВс1+7)=4),АпрВс1+7, "")</f>
        <v>45390</v>
      </c>
      <c r="L8" s="19">
        <f>IF(AND(YEAR(АпрВс1+8)=Год,MONTH(АпрВс1+8)=4),АпрВс1+8, "")</f>
        <v>45391</v>
      </c>
      <c r="M8" s="19">
        <f>IF(AND(YEAR(АпрВс1+9)=Год,MONTH(АпрВс1+9)=4),АпрВс1+9, "")</f>
        <v>45392</v>
      </c>
      <c r="N8" s="19">
        <f>IF(AND(YEAR(АпрВс1+10)=Год,MONTH(АпрВс1+10)=4),АпрВс1+10, "")</f>
        <v>45393</v>
      </c>
      <c r="O8" s="19">
        <f>IF(AND(YEAR(АпрВс1+11)=Год,MONTH(АпрВс1+11)=4),АпрВс1+11, "")</f>
        <v>45394</v>
      </c>
      <c r="P8" s="24">
        <f>IF(AND(YEAR(АпрВс1+12)=Год,MONTH(АпрВс1+12)=4),АпрВс1+12, "")</f>
        <v>45395</v>
      </c>
      <c r="Q8" s="24">
        <f>IF(AND(YEAR(АпрВс1+13)=Год,MONTH(АпрВс1+13)=4),АпрВс1+13, "")</f>
        <v>45396</v>
      </c>
      <c r="R8" s="1"/>
      <c r="S8" s="19">
        <f>IF(AND(YEAR(ИюлВс1+7)=Год,MONTH(ИюлВс1+7)=7),ИюлВс1+7, "")</f>
        <v>45481</v>
      </c>
      <c r="T8" s="19">
        <f>IF(AND(YEAR(ИюлВс1+8)=Год,MONTH(ИюлВс1+8)=7),ИюлВс1+8, "")</f>
        <v>45482</v>
      </c>
      <c r="U8" s="19">
        <f>IF(AND(YEAR(ИюлВс1+9)=Год,MONTH(ИюлВс1+9)=7),ИюлВс1+9, "")</f>
        <v>45483</v>
      </c>
      <c r="V8" s="19">
        <f>IF(AND(YEAR(ИюлВс1+10)=Год,MONTH(ИюлВс1+10)=7),ИюлВс1+10, "")</f>
        <v>45484</v>
      </c>
      <c r="W8" s="19">
        <f>IF(AND(YEAR(ИюлВс1+11)=Год,MONTH(ИюлВс1+11)=7),ИюлВс1+11, "")</f>
        <v>45485</v>
      </c>
      <c r="X8" s="24">
        <f>IF(AND(YEAR(ИюлВс1+12)=Год,MONTH(ИюлВс1+12)=7),ИюлВс1+12, "")</f>
        <v>45486</v>
      </c>
      <c r="Y8" s="24">
        <f>IF(AND(YEAR(ИюлВс1+13)=Год,MONTH(ИюлВс1+13)=7),ИюлВс1+13, "")</f>
        <v>45487</v>
      </c>
      <c r="Z8" s="1"/>
      <c r="AA8" s="19">
        <f>IF(AND(YEAR(ОктВс1+7)=Год,MONTH(ОктВс1+7)=10),ОктВс1+7, "")</f>
        <v>45572</v>
      </c>
      <c r="AB8" s="19">
        <f>IF(AND(YEAR(ОктВс1+8)=Год,MONTH(ОктВс1+8)=10),ОктВс1+8, "")</f>
        <v>45573</v>
      </c>
      <c r="AC8" s="19">
        <f>IF(AND(YEAR(ОктВс1+9)=Год,MONTH(ОктВс1+9)=10),ОктВс1+9, "")</f>
        <v>45574</v>
      </c>
      <c r="AD8" s="19">
        <f>IF(AND(YEAR(ОктВс1+10)=Год,MONTH(ОктВс1+10)=10),ОктВс1+10, "")</f>
        <v>45575</v>
      </c>
      <c r="AE8" s="19">
        <f>IF(AND(YEAR(ОктВс1+11)=Год,MONTH(ОктВс1+11)=10),ОктВс1+11, "")</f>
        <v>45576</v>
      </c>
      <c r="AF8" s="24">
        <f>IF(AND(YEAR(ОктВс1+12)=Год,MONTH(ОктВс1+12)=10),ОктВс1+12, "")</f>
        <v>45577</v>
      </c>
      <c r="AG8" s="24">
        <f>IF(AND(YEAR(ОктВс1+13)=Год,MONTH(ОктВс1+13)=10),ОктВс1+13, "")</f>
        <v>45578</v>
      </c>
      <c r="AH8" s="9"/>
      <c r="AJ8" s="30" t="s">
        <v>24</v>
      </c>
      <c r="AK8" s="30"/>
      <c r="AM8" s="30" t="s">
        <v>27</v>
      </c>
      <c r="AN8" s="30"/>
    </row>
    <row r="9" spans="2:40" ht="15" x14ac:dyDescent="0.2">
      <c r="B9" s="8"/>
      <c r="C9" s="19">
        <f>IF(AND(YEAR(ЯнвВс1+14)=Год,MONTH(ЯнвВс1+14)=1),ЯнвВс1+14, "")</f>
        <v>45306</v>
      </c>
      <c r="D9" s="19">
        <f>IF(AND(YEAR(ЯнвВс1+15)=Год,MONTH(ЯнвВс1+15)=1),ЯнвВс1+15, "")</f>
        <v>45307</v>
      </c>
      <c r="E9" s="19">
        <f>IF(AND(YEAR(ЯнвВс1+16)=Год,MONTH(ЯнвВс1+16)=1),ЯнвВс1+16, "")</f>
        <v>45308</v>
      </c>
      <c r="F9" s="19">
        <f>IF(AND(YEAR(ЯнвВс1+17)=Год,MONTH(ЯнвВс1+17)=1),ЯнвВс1+17, "")</f>
        <v>45309</v>
      </c>
      <c r="G9" s="19">
        <f>IF(AND(YEAR(ЯнвВс1+18)=Год,MONTH(ЯнвВс1+18)=1),ЯнвВс1+18, "")</f>
        <v>45310</v>
      </c>
      <c r="H9" s="24">
        <f>IF(AND(YEAR(ЯнвВс1+19)=Год,MONTH(ЯнвВс1+19)=1),ЯнвВс1+19, "")</f>
        <v>45311</v>
      </c>
      <c r="I9" s="24">
        <f>IF(AND(YEAR(ЯнвВс1+20)=Год,MONTH(ЯнвВс1+20)=1),ЯнвВс1+20, "")</f>
        <v>45312</v>
      </c>
      <c r="J9" s="1"/>
      <c r="K9" s="19">
        <f>IF(AND(YEAR(АпрВс1+14)=Год,MONTH(АпрВс1+14)=4),АпрВс1+14, "")</f>
        <v>45397</v>
      </c>
      <c r="L9" s="19">
        <f>IF(AND(YEAR(АпрВс1+15)=Год,MONTH(АпрВс1+15)=4),АпрВс1+15, "")</f>
        <v>45398</v>
      </c>
      <c r="M9" s="19">
        <f>IF(AND(YEAR(АпрВс1+16)=Год,MONTH(АпрВс1+16)=4),АпрВс1+16, "")</f>
        <v>45399</v>
      </c>
      <c r="N9" s="19">
        <f>IF(AND(YEAR(АпрВс1+17)=Год,MONTH(АпрВс1+17)=4),АпрВс1+17, "")</f>
        <v>45400</v>
      </c>
      <c r="O9" s="19">
        <f>IF(AND(YEAR(АпрВс1+18)=Год,MONTH(АпрВс1+18)=4),АпрВс1+18, "")</f>
        <v>45401</v>
      </c>
      <c r="P9" s="24">
        <f>IF(AND(YEAR(АпрВс1+19)=Год,MONTH(АпрВс1+19)=4),АпрВс1+19, "")</f>
        <v>45402</v>
      </c>
      <c r="Q9" s="24">
        <f>IF(AND(YEAR(АпрВс1+20)=Год,MONTH(АпрВс1+20)=4),АпрВс1+20, "")</f>
        <v>45403</v>
      </c>
      <c r="R9" s="1"/>
      <c r="S9" s="19">
        <f>IF(AND(YEAR(ИюлВс1+14)=Год,MONTH(ИюлВс1+14)=7),ИюлВс1+14, "")</f>
        <v>45488</v>
      </c>
      <c r="T9" s="19">
        <f>IF(AND(YEAR(ИюлВс1+15)=Год,MONTH(ИюлВс1+15)=7),ИюлВс1+15, "")</f>
        <v>45489</v>
      </c>
      <c r="U9" s="19">
        <f>IF(AND(YEAR(ИюлВс1+16)=Год,MONTH(ИюлВс1+16)=7),ИюлВс1+16, "")</f>
        <v>45490</v>
      </c>
      <c r="V9" s="19">
        <f>IF(AND(YEAR(ИюлВс1+17)=Год,MONTH(ИюлВс1+17)=7),ИюлВс1+17, "")</f>
        <v>45491</v>
      </c>
      <c r="W9" s="19">
        <f>IF(AND(YEAR(ИюлВс1+18)=Год,MONTH(ИюлВс1+18)=7),ИюлВс1+18, "")</f>
        <v>45492</v>
      </c>
      <c r="X9" s="24">
        <f>IF(AND(YEAR(ИюлВс1+19)=Год,MONTH(ИюлВс1+19)=7),ИюлВс1+19, "")</f>
        <v>45493</v>
      </c>
      <c r="Y9" s="24">
        <f>IF(AND(YEAR(ИюлВс1+20)=Год,MONTH(ИюлВс1+20)=7),ИюлВс1+20, "")</f>
        <v>45494</v>
      </c>
      <c r="Z9" s="1"/>
      <c r="AA9" s="19">
        <f>IF(AND(YEAR(ОктВс1+14)=Год,MONTH(ОктВс1+14)=10),ОктВс1+14, "")</f>
        <v>45579</v>
      </c>
      <c r="AB9" s="19">
        <f>IF(AND(YEAR(ОктВс1+15)=Год,MONTH(ОктВс1+15)=10),ОктВс1+15, "")</f>
        <v>45580</v>
      </c>
      <c r="AC9" s="19">
        <f>IF(AND(YEAR(ОктВс1+16)=Год,MONTH(ОктВс1+16)=10),ОктВс1+16, "")</f>
        <v>45581</v>
      </c>
      <c r="AD9" s="19">
        <f>IF(AND(YEAR(ОктВс1+17)=Год,MONTH(ОктВс1+17)=10),ОктВс1+17, "")</f>
        <v>45582</v>
      </c>
      <c r="AE9" s="19">
        <f>IF(AND(YEAR(ОктВс1+18)=Год,MONTH(ОктВс1+18)=10),ОктВс1+18, "")</f>
        <v>45583</v>
      </c>
      <c r="AF9" s="24">
        <f>IF(AND(YEAR(ОктВс1+19)=Год,MONTH(ОктВс1+19)=10),ОктВс1+19, "")</f>
        <v>45584</v>
      </c>
      <c r="AG9" s="24">
        <f>IF(AND(YEAR(ОктВс1+20)=Год,MONTH(ОктВс1+20)=10),ОктВс1+20, "")</f>
        <v>45585</v>
      </c>
      <c r="AH9" s="9"/>
      <c r="AJ9" s="20" t="s">
        <v>20</v>
      </c>
      <c r="AK9" s="22"/>
      <c r="AM9" s="20" t="s">
        <v>21</v>
      </c>
      <c r="AN9" s="21"/>
    </row>
    <row r="10" spans="2:40" ht="15" x14ac:dyDescent="0.2">
      <c r="B10" s="8"/>
      <c r="C10" s="19">
        <f>IF(AND(YEAR(ЯнвВс1+21)=Год,MONTH(ЯнвВс1+21)=1),ЯнвВс1+21, "")</f>
        <v>45313</v>
      </c>
      <c r="D10" s="19">
        <f>IF(AND(YEAR(ЯнвВс1+22)=Год,MONTH(ЯнвВс1+22)=1),ЯнвВс1+22, "")</f>
        <v>45314</v>
      </c>
      <c r="E10" s="19">
        <f>IF(AND(YEAR(ЯнвВс1+23)=Год,MONTH(ЯнвВс1+23)=1),ЯнвВс1+23, "")</f>
        <v>45315</v>
      </c>
      <c r="F10" s="19">
        <f>IF(AND(YEAR(ЯнвВс1+24)=Год,MONTH(ЯнвВс1+24)=1),ЯнвВс1+24, "")</f>
        <v>45316</v>
      </c>
      <c r="G10" s="19">
        <f>IF(AND(YEAR(ЯнвВс1+25)=Год,MONTH(ЯнвВс1+25)=1),ЯнвВс1+25, "")</f>
        <v>45317</v>
      </c>
      <c r="H10" s="24">
        <f>IF(AND(YEAR(ЯнвВс1+26)=Год,MONTH(ЯнвВс1+26)=1),ЯнвВс1+26, "")</f>
        <v>45318</v>
      </c>
      <c r="I10" s="24">
        <f>IF(AND(YEAR(ЯнвВс1+27)=Год,MONTH(ЯнвВс1+27)=1),ЯнвВс1+27, "")</f>
        <v>45319</v>
      </c>
      <c r="J10" s="1"/>
      <c r="K10" s="19">
        <f>IF(AND(YEAR(АпрВс1+21)=Год,MONTH(АпрВс1+21)=4),АпрВс1+21, "")</f>
        <v>45404</v>
      </c>
      <c r="L10" s="19">
        <f>IF(AND(YEAR(АпрВс1+22)=Год,MONTH(АпрВс1+22)=4),АпрВс1+22, "")</f>
        <v>45405</v>
      </c>
      <c r="M10" s="19">
        <f>IF(AND(YEAR(АпрВс1+23)=Год,MONTH(АпрВс1+23)=4),АпрВс1+23, "")</f>
        <v>45406</v>
      </c>
      <c r="N10" s="19">
        <f>IF(AND(YEAR(АпрВс1+24)=Год,MONTH(АпрВс1+24)=4),АпрВс1+24, "")</f>
        <v>45407</v>
      </c>
      <c r="O10" s="19">
        <f>IF(AND(YEAR(АпрВс1+25)=Год,MONTH(АпрВс1+25)=4),АпрВс1+25, "")</f>
        <v>45408</v>
      </c>
      <c r="P10" s="26">
        <f>IF(AND(YEAR(АпрВс1+26)=Год,MONTH(АпрВс1+26)=4),АпрВс1+26, "")</f>
        <v>45409</v>
      </c>
      <c r="Q10" s="24">
        <f>IF(AND(YEAR(АпрВс1+27)=Год,MONTH(АпрВс1+27)=4),АпрВс1+27, "")</f>
        <v>45410</v>
      </c>
      <c r="R10" s="1"/>
      <c r="S10" s="19">
        <f>IF(AND(YEAR(ИюлВс1+21)=Год,MONTH(ИюлВс1+21)=7),ИюлВс1+21, "")</f>
        <v>45495</v>
      </c>
      <c r="T10" s="19">
        <f>IF(AND(YEAR(ИюлВс1+22)=Год,MONTH(ИюлВс1+22)=7),ИюлВс1+22, "")</f>
        <v>45496</v>
      </c>
      <c r="U10" s="19">
        <f>IF(AND(YEAR(ИюлВс1+23)=Год,MONTH(ИюлВс1+23)=7),ИюлВс1+23, "")</f>
        <v>45497</v>
      </c>
      <c r="V10" s="19">
        <f>IF(AND(YEAR(ИюлВс1+24)=Год,MONTH(ИюлВс1+24)=7),ИюлВс1+24, "")</f>
        <v>45498</v>
      </c>
      <c r="W10" s="19">
        <f>IF(AND(YEAR(ИюлВс1+25)=Год,MONTH(ИюлВс1+25)=7),ИюлВс1+25, "")</f>
        <v>45499</v>
      </c>
      <c r="X10" s="24">
        <f>IF(AND(YEAR(ИюлВс1+26)=Год,MONTH(ИюлВс1+26)=7),ИюлВс1+26, "")</f>
        <v>45500</v>
      </c>
      <c r="Y10" s="24">
        <f>IF(AND(YEAR(ИюлВс1+27)=Год,MONTH(ИюлВс1+27)=7),ИюлВс1+27, "")</f>
        <v>45501</v>
      </c>
      <c r="Z10" s="1"/>
      <c r="AA10" s="19">
        <f>IF(AND(YEAR(ОктВс1+21)=Год,MONTH(ОктВс1+21)=10),ОктВс1+21, "")</f>
        <v>45586</v>
      </c>
      <c r="AB10" s="19">
        <f>IF(AND(YEAR(ОктВс1+22)=Год,MONTH(ОктВс1+22)=10),ОктВс1+22, "")</f>
        <v>45587</v>
      </c>
      <c r="AC10" s="19">
        <f>IF(AND(YEAR(ОктВс1+23)=Год,MONTH(ОктВс1+23)=10),ОктВс1+23, "")</f>
        <v>45588</v>
      </c>
      <c r="AD10" s="19">
        <f>IF(AND(YEAR(ОктВс1+24)=Год,MONTH(ОктВс1+24)=10),ОктВс1+24, "")</f>
        <v>45589</v>
      </c>
      <c r="AE10" s="19">
        <f>IF(AND(YEAR(ОктВс1+25)=Год,MONTH(ОктВс1+25)=10),ОктВс1+25, "")</f>
        <v>45590</v>
      </c>
      <c r="AF10" s="24">
        <f>IF(AND(YEAR(ОктВс1+26)=Год,MONTH(ОктВс1+26)=10),ОктВс1+26, "")</f>
        <v>45591</v>
      </c>
      <c r="AG10" s="24">
        <f>IF(AND(YEAR(ОктВс1+27)=Год,MONTH(ОктВс1+27)=10),ОктВс1+27, "")</f>
        <v>45592</v>
      </c>
      <c r="AH10" s="9"/>
      <c r="AJ10" s="20" t="s">
        <v>21</v>
      </c>
      <c r="AK10" s="22"/>
      <c r="AM10" s="20" t="s">
        <v>25</v>
      </c>
      <c r="AN10" s="21"/>
    </row>
    <row r="11" spans="2:40" ht="15" x14ac:dyDescent="0.2">
      <c r="B11" s="8"/>
      <c r="C11" s="19">
        <f>IF(AND(YEAR(ЯнвВс1+28)=Год,MONTH(ЯнвВс1+28)=1),ЯнвВс1+28, "")</f>
        <v>45320</v>
      </c>
      <c r="D11" s="19">
        <f>IF(AND(YEAR(ЯнвВс1+29)=Год,MONTH(ЯнвВс1+29)=1),ЯнвВс1+29, "")</f>
        <v>45321</v>
      </c>
      <c r="E11" s="19">
        <f>IF(AND(YEAR(ЯнвВс1+30)=Год,MONTH(ЯнвВс1+30)=1),ЯнвВс1+30, "")</f>
        <v>45322</v>
      </c>
      <c r="F11" s="19" t="str">
        <f>IF(AND(YEAR(ЯнвВс1+31)=Год,MONTH(ЯнвВс1+31)=1),ЯнвВс1+31, "")</f>
        <v/>
      </c>
      <c r="G11" s="19" t="str">
        <f>IF(AND(YEAR(ЯнвВс1+32)=Год,MONTH(ЯнвВс1+32)=1),ЯнвВс1+32, "")</f>
        <v/>
      </c>
      <c r="H11" s="19" t="str">
        <f>IF(AND(YEAR(ЯнвВс1+33)=Год,MONTH(ЯнвВс1+33)=1),ЯнвВс1+33, "")</f>
        <v/>
      </c>
      <c r="I11" s="19" t="str">
        <f>IF(AND(YEAR(ЯнвВс1+34)=Год,MONTH(ЯнвВс1+34)=1),ЯнвВс1+34, "")</f>
        <v/>
      </c>
      <c r="J11" s="1"/>
      <c r="K11" s="24">
        <f>IF(AND(YEAR(АпрВс1+28)=Год,MONTH(АпрВс1+28)=4),АпрВс1+28, "")</f>
        <v>45411</v>
      </c>
      <c r="L11" s="24">
        <f>IF(AND(YEAR(АпрВс1+29)=Год,MONTH(АпрВс1+29)=4),АпрВс1+29, "")</f>
        <v>45412</v>
      </c>
      <c r="M11" s="19" t="str">
        <f>IF(AND(YEAR(АпрВс1+30)=Год,MONTH(АпрВс1+30)=4),АпрВс1+30, "")</f>
        <v/>
      </c>
      <c r="N11" s="19" t="str">
        <f>IF(AND(YEAR(АпрВс1+31)=Год,MONTH(АпрВс1+31)=4),АпрВс1+31, "")</f>
        <v/>
      </c>
      <c r="O11" s="19" t="str">
        <f>IF(AND(YEAR(АпрВс1+32)=Год,MONTH(АпрВс1+32)=4),АпрВс1+32, "")</f>
        <v/>
      </c>
      <c r="P11" s="19" t="str">
        <f>IF(AND(YEAR(АпрВс1+33)=Год,MONTH(АпрВс1+33)=4),АпрВс1+33, "")</f>
        <v/>
      </c>
      <c r="Q11" s="19" t="str">
        <f>IF(AND(YEAR(АпрВс1+34)=Год,MONTH(АпрВс1+34)=4),АпрВс1+34, "")</f>
        <v/>
      </c>
      <c r="R11" s="1"/>
      <c r="S11" s="19">
        <f>IF(AND(YEAR(ИюлВс1+28)=Год,MONTH(ИюлВс1+28)=7),ИюлВс1+28, "")</f>
        <v>45502</v>
      </c>
      <c r="T11" s="19">
        <f>IF(AND(YEAR(ИюлВс1+29)=Год,MONTH(ИюлВс1+29)=7),ИюлВс1+29, "")</f>
        <v>45503</v>
      </c>
      <c r="U11" s="19">
        <f>IF(AND(YEAR(ИюлВс1+30)=Год,MONTH(ИюлВс1+30)=7),ИюлВс1+30, "")</f>
        <v>45504</v>
      </c>
      <c r="V11" s="19" t="str">
        <f>IF(AND(YEAR(ИюлВс1+31)=Год,MONTH(ИюлВс1+31)=7),ИюлВс1+31, "")</f>
        <v/>
      </c>
      <c r="W11" s="19" t="str">
        <f>IF(AND(YEAR(ИюлВс1+32)=Год,MONTH(ИюлВс1+32)=7),ИюлВс1+32, "")</f>
        <v/>
      </c>
      <c r="X11" s="19" t="str">
        <f>IF(AND(YEAR(ИюлВс1+33)=Год,MONTH(ИюлВс1+33)=7),ИюлВс1+33, "")</f>
        <v/>
      </c>
      <c r="Y11" s="19" t="str">
        <f>IF(AND(YEAR(ИюлВс1+34)=Год,MONTH(ИюлВс1+34)=7),ИюлВс1+34, "")</f>
        <v/>
      </c>
      <c r="Z11" s="1"/>
      <c r="AA11" s="19">
        <f>IF(AND(YEAR(ОктВс1+28)=Год,MONTH(ОктВс1+28)=10),ОктВс1+28, "")</f>
        <v>45593</v>
      </c>
      <c r="AB11" s="19">
        <f>IF(AND(YEAR(ОктВс1+29)=Год,MONTH(ОктВс1+29)=10),ОктВс1+29, "")</f>
        <v>45594</v>
      </c>
      <c r="AC11" s="19">
        <f>IF(AND(YEAR(ОктВс1+30)=Год,MONTH(ОктВс1+30)=10),ОктВс1+30, "")</f>
        <v>45595</v>
      </c>
      <c r="AD11" s="19">
        <f>IF(AND(YEAR(ОктВс1+31)=Год,MONTH(ОктВс1+31)=10),ОктВс1+31, "")</f>
        <v>45596</v>
      </c>
      <c r="AE11" s="19" t="str">
        <f>IF(AND(YEAR(ОктВс1+32)=Год,MONTH(ОктВс1+32)=10),ОктВс1+32, "")</f>
        <v/>
      </c>
      <c r="AF11" s="19" t="str">
        <f>IF(AND(YEAR(ОктВс1+33)=Год,MONTH(ОктВс1+33)=10),ОктВс1+33, "")</f>
        <v/>
      </c>
      <c r="AG11" s="19" t="str">
        <f>IF(AND(YEAR(ОктВс1+34)=Год,MONTH(ОктВс1+34)=10),ОктВс1+34, "")</f>
        <v/>
      </c>
      <c r="AH11" s="9"/>
      <c r="AJ11" s="20" t="s">
        <v>22</v>
      </c>
      <c r="AK11" s="21"/>
      <c r="AM11" s="20" t="s">
        <v>21</v>
      </c>
      <c r="AN11" s="21"/>
    </row>
    <row r="12" spans="2:40" x14ac:dyDescent="0.2">
      <c r="B12" s="15"/>
      <c r="C12" s="19" t="str">
        <f>IF(AND(YEAR(ЯнвВс1+35)=Год,MONTH(ЯнвВс1+35)=1),ЯнвВс1+35, "")</f>
        <v/>
      </c>
      <c r="D12" s="19" t="str">
        <f>IF(AND(YEAR(ЯнвВс1+36)=Год,MONTH(ЯнвВс1+36)=1),ЯнвВс1+36, "")</f>
        <v/>
      </c>
      <c r="E12" s="19" t="str">
        <f>IF(AND(YEAR(ЯнвВс1+37)=Год,MONTH(ЯнвВс1+37)=1),ЯнвВс1+37, "")</f>
        <v/>
      </c>
      <c r="F12" s="19" t="str">
        <f>IF(AND(YEAR(ЯнвВс1+38)=Год,MONTH(ЯнвВс1+38)=1),ЯнвВс1+38, "")</f>
        <v/>
      </c>
      <c r="G12" s="19" t="str">
        <f>IF(AND(YEAR(ЯнвВс1+39)=Год,MONTH(ЯнвВс1+39)=1),ЯнвВс1+39, "")</f>
        <v/>
      </c>
      <c r="H12" s="19" t="str">
        <f>IF(AND(YEAR(ЯнвВс1+40)=Год,MONTH(ЯнвВс1+40)=1),ЯнвВс1+40, "")</f>
        <v/>
      </c>
      <c r="I12" s="19" t="str">
        <f>IF(AND(YEAR(ЯнвВс1+41)=Год,MONTH(ЯнвВс1+41)=1),ЯнвВс1+41, "")</f>
        <v/>
      </c>
      <c r="J12" s="16"/>
      <c r="K12" s="19" t="str">
        <f>IF(AND(YEAR(АпрВс1+35)=Год,MONTH(АпрВс1+35)=4),АпрВс1+35, "")</f>
        <v/>
      </c>
      <c r="L12" s="19" t="str">
        <f>IF(AND(YEAR(АпрВс1+36)=Год,MONTH(АпрВс1+36)=4),АпрВс1+36, "")</f>
        <v/>
      </c>
      <c r="M12" s="19" t="str">
        <f>IF(AND(YEAR(АпрВс1+37)=Год,MONTH(АпрВс1+37)=4),АпрВс1+37, "")</f>
        <v/>
      </c>
      <c r="N12" s="19" t="str">
        <f>IF(AND(YEAR(АпрВс1+38)=Год,MONTH(АпрВс1+38)=4),АпрВс1+38, "")</f>
        <v/>
      </c>
      <c r="O12" s="19" t="str">
        <f>IF(AND(YEAR(АпрВс1+39)=Год,MONTH(АпрВс1+39)=4),АпрВс1+39, "")</f>
        <v/>
      </c>
      <c r="P12" s="19" t="str">
        <f>IF(AND(YEAR(АпрВс1+40)=Год,MONTH(АпрВс1+40)=4),АпрВс1+40, "")</f>
        <v/>
      </c>
      <c r="Q12" s="19" t="str">
        <f>IF(AND(YEAR(АпрВс1+41)=Год,MONTH(АпрВс1+41)=4),АпрВс1+41, "")</f>
        <v/>
      </c>
      <c r="R12" s="16"/>
      <c r="S12" s="19" t="str">
        <f>IF(AND(YEAR(ИюлВс1+35)=Год,MONTH(ИюлВс1+35)=7),ИюлВс1+35, "")</f>
        <v/>
      </c>
      <c r="T12" s="19" t="str">
        <f>IF(AND(YEAR(ИюлВс1+36)=Год,MONTH(ИюлВс1+36)=7),ИюлВс1+36, "")</f>
        <v/>
      </c>
      <c r="U12" s="19" t="str">
        <f>IF(AND(YEAR(ИюлВс1+37)=Год,MONTH(ИюлВс1+37)=7),ИюлВс1+37, "")</f>
        <v/>
      </c>
      <c r="V12" s="19" t="str">
        <f>IF(AND(YEAR(ИюлВс1+38)=Год,MONTH(ИюлВс1+38)=7),ИюлВс1+38, "")</f>
        <v/>
      </c>
      <c r="W12" s="19" t="str">
        <f>IF(AND(YEAR(ИюлВс1+39)=Год,MONTH(ИюлВс1+39)=7),ИюлВс1+39, "")</f>
        <v/>
      </c>
      <c r="X12" s="19" t="str">
        <f>IF(AND(YEAR(ИюлВс1+40)=Год,MONTH(ИюлВс1+40)=7),ИюлВс1+40, "")</f>
        <v/>
      </c>
      <c r="Y12" s="19" t="str">
        <f>IF(AND(YEAR(ИюлВс1+41)=Год,MONTH(ИюлВс1+41)=7),ИюлВс1+41, "")</f>
        <v/>
      </c>
      <c r="Z12" s="16"/>
      <c r="AA12" s="19" t="str">
        <f>IF(AND(YEAR(ОктВс1+35)=Год,MONTH(ОктВс1+35)=10),ОктВс1+35, "")</f>
        <v/>
      </c>
      <c r="AB12" s="19" t="str">
        <f>IF(AND(YEAR(ОктВс1+36)=Год,MONTH(ОктВс1+36)=10),ОктВс1+36, "")</f>
        <v/>
      </c>
      <c r="AC12" s="19" t="str">
        <f>IF(AND(YEAR(ОктВс1+37)=Год,MONTH(ОктВс1+37)=10),ОктВс1+37, "")</f>
        <v/>
      </c>
      <c r="AD12" s="19" t="str">
        <f>IF(AND(YEAR(ОктВс1+38)=Год,MONTH(ОктВс1+38)=10),ОктВс1+38, "")</f>
        <v/>
      </c>
      <c r="AE12" s="19" t="str">
        <f>IF(AND(YEAR(ОктВс1+39)=Год,MONTH(ОктВс1+39)=10),ОктВс1+39, "")</f>
        <v/>
      </c>
      <c r="AF12" s="19" t="str">
        <f>IF(AND(YEAR(ОктВс1+40)=Год,MONTH(ОктВс1+40)=10),ОктВс1+40, "")</f>
        <v/>
      </c>
      <c r="AG12" s="19" t="str">
        <f>IF(AND(YEAR(ОктВс1+41)=Год,MONTH(ОктВс1+41)=10),ОктВс1+41, "")</f>
        <v/>
      </c>
      <c r="AH12" s="17"/>
      <c r="AN12" s="29"/>
    </row>
    <row r="13" spans="2:40" ht="3.75" customHeight="1" x14ac:dyDescent="0.2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</row>
    <row r="14" spans="2:40" x14ac:dyDescent="0.2">
      <c r="B14" s="8"/>
      <c r="C14" s="31" t="s">
        <v>2</v>
      </c>
      <c r="D14" s="31"/>
      <c r="E14" s="31"/>
      <c r="F14" s="31"/>
      <c r="G14" s="31"/>
      <c r="H14" s="31"/>
      <c r="I14" s="31"/>
      <c r="J14" s="1"/>
      <c r="K14" s="31" t="s">
        <v>12</v>
      </c>
      <c r="L14" s="31"/>
      <c r="M14" s="31"/>
      <c r="N14" s="31"/>
      <c r="O14" s="31"/>
      <c r="P14" s="31"/>
      <c r="Q14" s="31"/>
      <c r="R14" s="1"/>
      <c r="S14" s="31" t="s">
        <v>15</v>
      </c>
      <c r="T14" s="31"/>
      <c r="U14" s="31"/>
      <c r="V14" s="31"/>
      <c r="W14" s="31"/>
      <c r="X14" s="31"/>
      <c r="Y14" s="31"/>
      <c r="Z14" s="1"/>
      <c r="AA14" s="31" t="s">
        <v>18</v>
      </c>
      <c r="AB14" s="31"/>
      <c r="AC14" s="31"/>
      <c r="AD14" s="31"/>
      <c r="AE14" s="31"/>
      <c r="AF14" s="31"/>
      <c r="AG14" s="31"/>
      <c r="AH14" s="9"/>
    </row>
    <row r="15" spans="2:40" x14ac:dyDescent="0.2">
      <c r="B15" s="8"/>
      <c r="C15" s="3" t="s">
        <v>1</v>
      </c>
      <c r="D15" s="3" t="s">
        <v>4</v>
      </c>
      <c r="E15" s="3" t="s">
        <v>6</v>
      </c>
      <c r="F15" s="3" t="s">
        <v>5</v>
      </c>
      <c r="G15" s="3" t="s">
        <v>7</v>
      </c>
      <c r="H15" s="4" t="s">
        <v>8</v>
      </c>
      <c r="I15" s="4" t="s">
        <v>9</v>
      </c>
      <c r="J15" s="1"/>
      <c r="K15" s="3" t="s">
        <v>1</v>
      </c>
      <c r="L15" s="3" t="s">
        <v>4</v>
      </c>
      <c r="M15" s="3" t="s">
        <v>6</v>
      </c>
      <c r="N15" s="3" t="s">
        <v>5</v>
      </c>
      <c r="O15" s="3" t="s">
        <v>7</v>
      </c>
      <c r="P15" s="4" t="s">
        <v>8</v>
      </c>
      <c r="Q15" s="4" t="s">
        <v>9</v>
      </c>
      <c r="R15" s="1"/>
      <c r="S15" s="3" t="s">
        <v>1</v>
      </c>
      <c r="T15" s="3" t="s">
        <v>4</v>
      </c>
      <c r="U15" s="3" t="s">
        <v>6</v>
      </c>
      <c r="V15" s="3" t="s">
        <v>5</v>
      </c>
      <c r="W15" s="3" t="s">
        <v>7</v>
      </c>
      <c r="X15" s="4" t="s">
        <v>8</v>
      </c>
      <c r="Y15" s="4" t="s">
        <v>9</v>
      </c>
      <c r="Z15" s="1"/>
      <c r="AA15" s="3" t="s">
        <v>1</v>
      </c>
      <c r="AB15" s="3" t="s">
        <v>4</v>
      </c>
      <c r="AC15" s="3" t="s">
        <v>6</v>
      </c>
      <c r="AD15" s="3" t="s">
        <v>5</v>
      </c>
      <c r="AE15" s="3" t="s">
        <v>7</v>
      </c>
      <c r="AF15" s="4" t="s">
        <v>8</v>
      </c>
      <c r="AG15" s="4" t="s">
        <v>9</v>
      </c>
      <c r="AH15" s="9"/>
    </row>
    <row r="16" spans="2:40" x14ac:dyDescent="0.2">
      <c r="B16" s="8"/>
      <c r="C16" s="18" t="str">
        <f>IF(AND(YEAR(ФевВс1)=Год,MONTH(ФевВс1)=2),ФевВс1, "")</f>
        <v/>
      </c>
      <c r="D16" s="18" t="str">
        <f>IF(AND(YEAR(ФевВс1+1)=Год,MONTH(ФевВс1+1)=2),ФевВс1+1, "")</f>
        <v/>
      </c>
      <c r="E16" s="18" t="str">
        <f>IF(AND(YEAR(ФевВс1+2)=Год,MONTH(ФевВс1+2)=2),ФевВс1+2, "")</f>
        <v/>
      </c>
      <c r="F16" s="18">
        <f>IF(AND(YEAR(ФевВс1+3)=Год,MONTH(ФевВс1+3)=2),ФевВс1+3, "")</f>
        <v>45323</v>
      </c>
      <c r="G16" s="18">
        <f>IF(AND(YEAR(ФевВс1+4)=Год,MONTH(ФевВс1+4)=2),ФевВс1+4, "")</f>
        <v>45324</v>
      </c>
      <c r="H16" s="25">
        <f>IF(AND(YEAR(ФевВс1+5)=Год,MONTH(ФевВс1+5)=2),ФевВс1+5, "")</f>
        <v>45325</v>
      </c>
      <c r="I16" s="25">
        <f>IF(AND(YEAR(ФевВс1+6)=Год,MONTH(ФевВс1+6)=2),ФевВс1+6, "")</f>
        <v>45326</v>
      </c>
      <c r="J16" s="1"/>
      <c r="K16" s="18" t="str">
        <f>IF(AND(YEAR(МайВс1)=Год,MONTH(МайВс1)=5),МайВс1, "")</f>
        <v/>
      </c>
      <c r="L16" s="18" t="str">
        <f>IF(AND(YEAR(МайВс1+1)=Год,MONTH(МайВс1+1)=5),МайВс1+1, "")</f>
        <v/>
      </c>
      <c r="M16" s="25">
        <f>IF(AND(YEAR(МайВс1+2)=Год,MONTH(МайВс1+2)=5),МайВс1+2, "")</f>
        <v>45413</v>
      </c>
      <c r="N16" s="18">
        <f>IF(AND(YEAR(МайВс1+3)=Год,MONTH(МайВс1+3)=5),МайВс1+3, "")</f>
        <v>45414</v>
      </c>
      <c r="O16" s="18">
        <f>IF(AND(YEAR(МайВс1+4)=Год,MONTH(МайВс1+4)=5),МайВс1+4, "")</f>
        <v>45415</v>
      </c>
      <c r="P16" s="25">
        <f>IF(AND(YEAR(МайВс1+5)=Год,MONTH(МайВс1+5)=5),МайВс1+5, "")</f>
        <v>45416</v>
      </c>
      <c r="Q16" s="25">
        <f>IF(AND(YEAR(МайВс1+6)=Год,MONTH(МайВс1+6)=5),МайВс1+6, "")</f>
        <v>45417</v>
      </c>
      <c r="R16" s="1"/>
      <c r="S16" s="18" t="str">
        <f>IF(AND(YEAR(АвгВс1)=Год,MONTH(АвгВс1)=8),АвгВс1, "")</f>
        <v/>
      </c>
      <c r="T16" s="18" t="str">
        <f>IF(AND(YEAR(АвгВс1+1)=Год,MONTH(АвгВс1+1)=8),АвгВс1+1, "")</f>
        <v/>
      </c>
      <c r="U16" s="18" t="str">
        <f>IF(AND(YEAR(АвгВс1+2)=Год,MONTH(АвгВс1+2)=8),АвгВс1+2, "")</f>
        <v/>
      </c>
      <c r="V16" s="18">
        <f>IF(AND(YEAR(АвгВс1+3)=Год,MONTH(АвгВс1+3)=8),АвгВс1+3, "")</f>
        <v>45505</v>
      </c>
      <c r="W16" s="18">
        <f>IF(AND(YEAR(АвгВс1+4)=Год,MONTH(АвгВс1+4)=8),АвгВс1+4, "")</f>
        <v>45506</v>
      </c>
      <c r="X16" s="25">
        <f>IF(AND(YEAR(АвгВс1+5)=Год,MONTH(АвгВс1+5)=8),АвгВс1+5, "")</f>
        <v>45507</v>
      </c>
      <c r="Y16" s="25">
        <f>IF(AND(YEAR(АвгВс1+6)=Год,MONTH(АвгВс1+6)=8),АвгВс1+6, "")</f>
        <v>45508</v>
      </c>
      <c r="Z16" s="1"/>
      <c r="AA16" s="18" t="str">
        <f>IF(AND(YEAR(НояВс1)=Год,MONTH(НояВс1)=11),НояВс1, "")</f>
        <v/>
      </c>
      <c r="AB16" s="18" t="str">
        <f>IF(AND(YEAR(НояВс1+1)=Год,MONTH(НояВс1+1)=11),НояВс1+1, "")</f>
        <v/>
      </c>
      <c r="AC16" s="18" t="str">
        <f>IF(AND(YEAR(НояВс1+2)=Год,MONTH(НояВс1+2)=11),НояВс1+2, "")</f>
        <v/>
      </c>
      <c r="AD16" s="18" t="str">
        <f>IF(AND(YEAR(НояВс1+3)=Год,MONTH(НояВс1+3)=11),НояВс1+3, "")</f>
        <v/>
      </c>
      <c r="AE16" s="18">
        <f>IF(AND(YEAR(НояВс1+4)=Год,MONTH(НояВс1+4)=11),НояВс1+4, "")</f>
        <v>45597</v>
      </c>
      <c r="AF16" s="18">
        <f>IF(AND(YEAR(НояВс1+5)=Год,MONTH(НояВс1+5)=11),НояВс1+5, "")</f>
        <v>45598</v>
      </c>
      <c r="AG16" s="25">
        <f>IF(AND(YEAR(НояВс1+6)=Год,MONTH(НояВс1+6)=11),НояВс1+6, "")</f>
        <v>45599</v>
      </c>
      <c r="AH16" s="9"/>
    </row>
    <row r="17" spans="2:34" x14ac:dyDescent="0.2">
      <c r="B17" s="8"/>
      <c r="C17" s="19">
        <f>IF(AND(YEAR(ФевВс1+7)=Год,MONTH(ФевВс1+7)=2),ФевВс1+7, "")</f>
        <v>45327</v>
      </c>
      <c r="D17" s="19">
        <f>IF(AND(YEAR(ФевВс1+8)=Год,MONTH(ФевВс1+8)=2),ФевВс1+8, "")</f>
        <v>45328</v>
      </c>
      <c r="E17" s="19">
        <f>IF(AND(YEAR(ФевВс1+9)=Год,MONTH(ФевВс1+9)=2),ФевВс1+9, "")</f>
        <v>45329</v>
      </c>
      <c r="F17" s="19">
        <f>IF(AND(YEAR(ФевВс1+10)=Год,MONTH(ФевВс1+10)=2),ФевВс1+10, "")</f>
        <v>45330</v>
      </c>
      <c r="G17" s="19">
        <f>IF(AND(YEAR(ФевВс1+11)=Год,MONTH(ФевВс1+11)=2),ФевВс1+11, "")</f>
        <v>45331</v>
      </c>
      <c r="H17" s="24">
        <f>IF(AND(YEAR(ФевВс1+12)=Год,MONTH(ФевВс1+12)=2),ФевВс1+12, "")</f>
        <v>45332</v>
      </c>
      <c r="I17" s="24">
        <f>IF(AND(YEAR(ФевВс1+13)=Год,MONTH(ФевВс1+13)=2),ФевВс1+13, "")</f>
        <v>45333</v>
      </c>
      <c r="J17" s="1"/>
      <c r="K17" s="19">
        <f>IF(AND(YEAR(МайВс1+7)=Год,MONTH(МайВс1+7)=5),МайВс1+7, "")</f>
        <v>45418</v>
      </c>
      <c r="L17" s="19">
        <f>IF(AND(YEAR(МайВс1+8)=Год,MONTH(МайВс1+8)=5),МайВс1+8, "")</f>
        <v>45419</v>
      </c>
      <c r="M17" s="19">
        <f>IF(AND(YEAR(МайВс1+9)=Год,MONTH(МайВс1+9)=5),МайВс1+9, "")</f>
        <v>45420</v>
      </c>
      <c r="N17" s="24">
        <f>IF(AND(YEAR(МайВс1+10)=Год,MONTH(МайВс1+10)=5),МайВс1+10, "")</f>
        <v>45421</v>
      </c>
      <c r="O17" s="24">
        <f>IF(AND(YEAR(МайВс1+11)=Год,MONTH(МайВс1+11)=5),МайВс1+11, "")</f>
        <v>45422</v>
      </c>
      <c r="P17" s="24">
        <f>IF(AND(YEAR(МайВс1+12)=Год,MONTH(МайВс1+12)=5),МайВс1+12, "")</f>
        <v>45423</v>
      </c>
      <c r="Q17" s="24">
        <f>IF(AND(YEAR(МайВс1+13)=Год,MONTH(МайВс1+13)=5),МайВс1+13, "")</f>
        <v>45424</v>
      </c>
      <c r="R17" s="1"/>
      <c r="S17" s="19">
        <f>IF(AND(YEAR(АвгВс1+7)=Год,MONTH(АвгВс1+7)=8),АвгВс1+7, "")</f>
        <v>45509</v>
      </c>
      <c r="T17" s="19">
        <f>IF(AND(YEAR(АвгВс1+8)=Год,MONTH(АвгВс1+8)=8),АвгВс1+8, "")</f>
        <v>45510</v>
      </c>
      <c r="U17" s="19">
        <f>IF(AND(YEAR(АвгВс1+9)=Год,MONTH(АвгВс1+9)=8),АвгВс1+9, "")</f>
        <v>45511</v>
      </c>
      <c r="V17" s="19">
        <f>IF(AND(YEAR(АвгВс1+10)=Год,MONTH(АвгВс1+10)=8),АвгВс1+10, "")</f>
        <v>45512</v>
      </c>
      <c r="W17" s="19">
        <f>IF(AND(YEAR(АвгВс1+11)=Год,MONTH(АвгВс1+11)=8),АвгВс1+11, "")</f>
        <v>45513</v>
      </c>
      <c r="X17" s="24">
        <f>IF(AND(YEAR(АвгВс1+12)=Год,MONTH(АвгВс1+12)=8),АвгВс1+12, "")</f>
        <v>45514</v>
      </c>
      <c r="Y17" s="24">
        <f>IF(AND(YEAR(АвгВс1+13)=Год,MONTH(АвгВс1+13)=8),АвгВс1+13, "")</f>
        <v>45515</v>
      </c>
      <c r="Z17" s="1"/>
      <c r="AA17" s="24">
        <f>IF(AND(YEAR(НояВс1+7)=Год,MONTH(НояВс1+7)=11),НояВс1+7, "")</f>
        <v>45600</v>
      </c>
      <c r="AB17" s="19">
        <f>IF(AND(YEAR(НояВс1+8)=Год,MONTH(НояВс1+8)=11),НояВс1+8, "")</f>
        <v>45601</v>
      </c>
      <c r="AC17" s="19">
        <f>IF(AND(YEAR(НояВс1+9)=Год,MONTH(НояВс1+9)=11),НояВс1+9, "")</f>
        <v>45602</v>
      </c>
      <c r="AD17" s="19">
        <f>IF(AND(YEAR(НояВс1+10)=Год,MONTH(НояВс1+10)=11),НояВс1+10, "")</f>
        <v>45603</v>
      </c>
      <c r="AE17" s="19">
        <f>IF(AND(YEAR(НояВс1+11)=Год,MONTH(НояВс1+11)=11),НояВс1+11, "")</f>
        <v>45604</v>
      </c>
      <c r="AF17" s="24">
        <f>IF(AND(YEAR(НояВс1+12)=Год,MONTH(НояВс1+12)=11),НояВс1+12, "")</f>
        <v>45605</v>
      </c>
      <c r="AG17" s="24">
        <f>IF(AND(YEAR(НояВс1+13)=Год,MONTH(НояВс1+13)=11),НояВс1+13, "")</f>
        <v>45606</v>
      </c>
      <c r="AH17" s="9"/>
    </row>
    <row r="18" spans="2:34" x14ac:dyDescent="0.2">
      <c r="B18" s="8"/>
      <c r="C18" s="19">
        <f>IF(AND(YEAR(ФевВс1+14)=Год,MONTH(ФевВс1+14)=2),ФевВс1+14, "")</f>
        <v>45334</v>
      </c>
      <c r="D18" s="19">
        <f>IF(AND(YEAR(ФевВс1+15)=Год,MONTH(ФевВс1+15)=2),ФевВс1+15, "")</f>
        <v>45335</v>
      </c>
      <c r="E18" s="19">
        <f>IF(AND(YEAR(ФевВс1+16)=Год,MONTH(ФевВс1+16)=2),ФевВс1+16, "")</f>
        <v>45336</v>
      </c>
      <c r="F18" s="19">
        <f>IF(AND(YEAR(ФевВс1+17)=Год,MONTH(ФевВс1+17)=2),ФевВс1+17, "")</f>
        <v>45337</v>
      </c>
      <c r="G18" s="19">
        <f>IF(AND(YEAR(ФевВс1+18)=Год,MONTH(ФевВс1+18)=2),ФевВс1+18, "")</f>
        <v>45338</v>
      </c>
      <c r="H18" s="24">
        <f>IF(AND(YEAR(ФевВс1+19)=Год,MONTH(ФевВс1+19)=2),ФевВс1+19, "")</f>
        <v>45339</v>
      </c>
      <c r="I18" s="24">
        <f>IF(AND(YEAR(ФевВс1+20)=Год,MONTH(ФевВс1+20)=2),ФевВс1+20, "")</f>
        <v>45340</v>
      </c>
      <c r="J18" s="1"/>
      <c r="K18" s="24">
        <f>IF(AND(YEAR(МайВс1+14)=Год,MONTH(МайВс1+14)=5),МайВс1+14, "")</f>
        <v>45425</v>
      </c>
      <c r="L18" s="19">
        <f>IF(AND(YEAR(МайВс1+15)=Год,MONTH(МайВс1+15)=5),МайВс1+15, "")</f>
        <v>45426</v>
      </c>
      <c r="M18" s="19">
        <f>IF(AND(YEAR(МайВс1+16)=Год,MONTH(МайВс1+16)=5),МайВс1+16, "")</f>
        <v>45427</v>
      </c>
      <c r="N18" s="19">
        <f>IF(AND(YEAR(МайВс1+17)=Год,MONTH(МайВс1+17)=5),МайВс1+17, "")</f>
        <v>45428</v>
      </c>
      <c r="O18" s="19">
        <f>IF(AND(YEAR(МайВс1+18)=Год,MONTH(МайВс1+18)=5),МайВс1+18, "")</f>
        <v>45429</v>
      </c>
      <c r="P18" s="24">
        <f>IF(AND(YEAR(МайВс1+19)=Год,MONTH(МайВс1+19)=5),МайВс1+19, "")</f>
        <v>45430</v>
      </c>
      <c r="Q18" s="24">
        <f>IF(AND(YEAR(МайВс1+20)=Год,MONTH(МайВс1+20)=5),МайВс1+20, "")</f>
        <v>45431</v>
      </c>
      <c r="R18" s="1"/>
      <c r="S18" s="19">
        <f>IF(AND(YEAR(АвгВс1+14)=Год,MONTH(АвгВс1+14)=8),АвгВс1+14, "")</f>
        <v>45516</v>
      </c>
      <c r="T18" s="19">
        <f>IF(AND(YEAR(АвгВс1+15)=Год,MONTH(АвгВс1+15)=8),АвгВс1+15, "")</f>
        <v>45517</v>
      </c>
      <c r="U18" s="19">
        <f>IF(AND(YEAR(АвгВс1+16)=Год,MONTH(АвгВс1+16)=8),АвгВс1+16, "")</f>
        <v>45518</v>
      </c>
      <c r="V18" s="19">
        <f>IF(AND(YEAR(АвгВс1+17)=Год,MONTH(АвгВс1+17)=8),АвгВс1+17, "")</f>
        <v>45519</v>
      </c>
      <c r="W18" s="19">
        <f>IF(AND(YEAR(АвгВс1+18)=Год,MONTH(АвгВс1+18)=8),АвгВс1+18, "")</f>
        <v>45520</v>
      </c>
      <c r="X18" s="24">
        <f>IF(AND(YEAR(АвгВс1+19)=Год,MONTH(АвгВс1+19)=8),АвгВс1+19, "")</f>
        <v>45521</v>
      </c>
      <c r="Y18" s="24">
        <f>IF(AND(YEAR(АвгВс1+20)=Год,MONTH(АвгВс1+20)=8),АвгВс1+20, "")</f>
        <v>45522</v>
      </c>
      <c r="Z18" s="1"/>
      <c r="AA18" s="19">
        <f>IF(AND(YEAR(НояВс1+14)=Год,MONTH(НояВс1+14)=11),НояВс1+14, "")</f>
        <v>45607</v>
      </c>
      <c r="AB18" s="19">
        <f>IF(AND(YEAR(НояВс1+15)=Год,MONTH(НояВс1+15)=11),НояВс1+15, "")</f>
        <v>45608</v>
      </c>
      <c r="AC18" s="19">
        <f>IF(AND(YEAR(НояВс1+16)=Год,MONTH(НояВс1+16)=11),НояВс1+16, "")</f>
        <v>45609</v>
      </c>
      <c r="AD18" s="19">
        <f>IF(AND(YEAR(НояВс1+17)=Год,MONTH(НояВс1+17)=11),НояВс1+17, "")</f>
        <v>45610</v>
      </c>
      <c r="AE18" s="19">
        <f>IF(AND(YEAR(НояВс1+18)=Год,MONTH(НояВс1+18)=11),НояВс1+18, "")</f>
        <v>45611</v>
      </c>
      <c r="AF18" s="24">
        <f>IF(AND(YEAR(НояВс1+19)=Год,MONTH(НояВс1+19)=11),НояВс1+19, "")</f>
        <v>45612</v>
      </c>
      <c r="AG18" s="24">
        <f>IF(AND(YEAR(НояВс1+20)=Год,MONTH(НояВс1+20)=11),НояВс1+20, "")</f>
        <v>45613</v>
      </c>
      <c r="AH18" s="9"/>
    </row>
    <row r="19" spans="2:34" x14ac:dyDescent="0.2">
      <c r="B19" s="8"/>
      <c r="C19" s="19">
        <f>IF(AND(YEAR(ФевВс1+21)=Год,MONTH(ФевВс1+21)=2),ФевВс1+21, "")</f>
        <v>45341</v>
      </c>
      <c r="D19" s="19">
        <f>IF(AND(YEAR(ФевВс1+22)=Год,MONTH(ФевВс1+22)=2),ФевВс1+22, "")</f>
        <v>45342</v>
      </c>
      <c r="E19" s="19">
        <f>IF(AND(YEAR(ФевВс1+23)=Год,MONTH(ФевВс1+23)=2),ФевВс1+23, "")</f>
        <v>45343</v>
      </c>
      <c r="F19" s="19">
        <f>IF(AND(YEAR(ФевВс1+24)=Год,MONTH(ФевВс1+24)=2),ФевВс1+24, "")</f>
        <v>45344</v>
      </c>
      <c r="G19" s="24">
        <f>IF(AND(YEAR(ФевВс1+25)=Год,MONTH(ФевВс1+25)=2),ФевВс1+25, "")</f>
        <v>45345</v>
      </c>
      <c r="H19" s="24">
        <f>IF(AND(YEAR(ФевВс1+26)=Год,MONTH(ФевВс1+26)=2),ФевВс1+26, "")</f>
        <v>45346</v>
      </c>
      <c r="I19" s="24">
        <f>IF(AND(YEAR(ФевВс1+27)=Год,MONTH(ФевВс1+27)=2),ФевВс1+27, "")</f>
        <v>45347</v>
      </c>
      <c r="J19" s="1"/>
      <c r="K19" s="19">
        <f>IF(AND(YEAR(МайВс1+21)=Год,MONTH(МайВс1+21)=5),МайВс1+21, "")</f>
        <v>45432</v>
      </c>
      <c r="L19" s="19">
        <f>IF(AND(YEAR(МайВс1+22)=Год,MONTH(МайВс1+22)=5),МайВс1+22, "")</f>
        <v>45433</v>
      </c>
      <c r="M19" s="19">
        <f>IF(AND(YEAR(МайВс1+23)=Год,MONTH(МайВс1+23)=5),МайВс1+23, "")</f>
        <v>45434</v>
      </c>
      <c r="N19" s="19">
        <f>IF(AND(YEAR(МайВс1+24)=Год,MONTH(МайВс1+24)=5),МайВс1+24, "")</f>
        <v>45435</v>
      </c>
      <c r="O19" s="19">
        <f>IF(AND(YEAR(МайВс1+25)=Год,MONTH(МайВс1+25)=5),МайВс1+25, "")</f>
        <v>45436</v>
      </c>
      <c r="P19" s="24">
        <f>IF(AND(YEAR(МайВс1+26)=Год,MONTH(МайВс1+26)=5),МайВс1+26, "")</f>
        <v>45437</v>
      </c>
      <c r="Q19" s="24">
        <f>IF(AND(YEAR(МайВс1+27)=Год,MONTH(МайВс1+27)=5),МайВс1+27, "")</f>
        <v>45438</v>
      </c>
      <c r="R19" s="1"/>
      <c r="S19" s="19">
        <f>IF(AND(YEAR(АвгВс1+21)=Год,MONTH(АвгВс1+21)=8),АвгВс1+21, "")</f>
        <v>45523</v>
      </c>
      <c r="T19" s="19">
        <f>IF(AND(YEAR(АвгВс1+22)=Год,MONTH(АвгВс1+22)=8),АвгВс1+22, "")</f>
        <v>45524</v>
      </c>
      <c r="U19" s="19">
        <f>IF(AND(YEAR(АвгВс1+23)=Год,MONTH(АвгВс1+23)=8),АвгВс1+23, "")</f>
        <v>45525</v>
      </c>
      <c r="V19" s="19">
        <f>IF(AND(YEAR(АвгВс1+24)=Год,MONTH(АвгВс1+24)=8),АвгВс1+24, "")</f>
        <v>45526</v>
      </c>
      <c r="W19" s="19">
        <f>IF(AND(YEAR(АвгВс1+25)=Год,MONTH(АвгВс1+25)=8),АвгВс1+25, "")</f>
        <v>45527</v>
      </c>
      <c r="X19" s="24">
        <f>IF(AND(YEAR(АвгВс1+26)=Год,MONTH(АвгВс1+26)=8),АвгВс1+26, "")</f>
        <v>45528</v>
      </c>
      <c r="Y19" s="24">
        <f>IF(AND(YEAR(АвгВс1+27)=Год,MONTH(АвгВс1+27)=8),АвгВс1+27, "")</f>
        <v>45529</v>
      </c>
      <c r="Z19" s="1"/>
      <c r="AA19" s="19">
        <f>IF(AND(YEAR(НояВс1+21)=Год,MONTH(НояВс1+21)=11),НояВс1+21, "")</f>
        <v>45614</v>
      </c>
      <c r="AB19" s="19">
        <f>IF(AND(YEAR(НояВс1+22)=Год,MONTH(НояВс1+22)=11),НояВс1+22, "")</f>
        <v>45615</v>
      </c>
      <c r="AC19" s="19">
        <f>IF(AND(YEAR(НояВс1+23)=Год,MONTH(НояВс1+23)=11),НояВс1+23, "")</f>
        <v>45616</v>
      </c>
      <c r="AD19" s="19">
        <f>IF(AND(YEAR(НояВс1+24)=Год,MONTH(НояВс1+24)=11),НояВс1+24, "")</f>
        <v>45617</v>
      </c>
      <c r="AE19" s="19">
        <f>IF(AND(YEAR(НояВс1+25)=Год,MONTH(НояВс1+25)=11),НояВс1+25, "")</f>
        <v>45618</v>
      </c>
      <c r="AF19" s="24">
        <f>IF(AND(YEAR(НояВс1+26)=Год,MONTH(НояВс1+26)=11),НояВс1+26, "")</f>
        <v>45619</v>
      </c>
      <c r="AG19" s="24">
        <f>IF(AND(YEAR(НояВс1+27)=Год,MONTH(НояВс1+27)=11),НояВс1+27, "")</f>
        <v>45620</v>
      </c>
      <c r="AH19" s="9"/>
    </row>
    <row r="20" spans="2:34" x14ac:dyDescent="0.2">
      <c r="B20" s="8"/>
      <c r="C20" s="19">
        <f>IF(AND(YEAR(ФевВс1+28)=Год,MONTH(ФевВс1+28)=2),ФевВс1+28, "")</f>
        <v>45348</v>
      </c>
      <c r="D20" s="19">
        <f>IF(AND(YEAR(ФевВс1+29)=Год,MONTH(ФевВс1+29)=2),ФевВс1+29, "")</f>
        <v>45349</v>
      </c>
      <c r="E20" s="19">
        <f>IF(AND(YEAR(ФевВс1+30)=Год,MONTH(ФевВс1+30)=2),ФевВс1+30, "")</f>
        <v>45350</v>
      </c>
      <c r="F20" s="19">
        <f>IF(AND(YEAR(ФевВс1+31)=Год,MONTH(ФевВс1+31)=2),ФевВс1+31, "")</f>
        <v>45351</v>
      </c>
      <c r="G20" s="19" t="str">
        <f>IF(AND(YEAR(ФевВс1+32)=Год,MONTH(ФевВс1+32)=2),ФевВс1+32, "")</f>
        <v/>
      </c>
      <c r="H20" s="19" t="str">
        <f>IF(AND(YEAR(ФевВс1+33)=Год,MONTH(ФевВс1+33)=2),ФевВс1+33, "")</f>
        <v/>
      </c>
      <c r="I20" s="19" t="str">
        <f>IF(AND(YEAR(ФевВс1+34)=Год,MONTH(ФевВс1+34)=2),ФевВс1+34, "")</f>
        <v/>
      </c>
      <c r="J20" s="1"/>
      <c r="K20" s="19">
        <f>IF(AND(YEAR(МайВс1+28)=Год,MONTH(МайВс1+28)=5),МайВс1+28, "")</f>
        <v>45439</v>
      </c>
      <c r="L20" s="19">
        <f>IF(AND(YEAR(МайВс1+29)=Год,MONTH(МайВс1+29)=5),МайВс1+29, "")</f>
        <v>45440</v>
      </c>
      <c r="M20" s="19">
        <f>IF(AND(YEAR(МайВс1+30)=Год,MONTH(МайВс1+30)=5),МайВс1+30, "")</f>
        <v>45441</v>
      </c>
      <c r="N20" s="19">
        <f>IF(AND(YEAR(МайВс1+31)=Год,MONTH(МайВс1+31)=5),МайВс1+31, "")</f>
        <v>45442</v>
      </c>
      <c r="O20" s="19">
        <f>IF(AND(YEAR(МайВс1+32)=Год,MONTH(МайВс1+32)=5),МайВс1+32, "")</f>
        <v>45443</v>
      </c>
      <c r="P20" s="19" t="str">
        <f>IF(AND(YEAR(МайВс1+33)=Год,MONTH(МайВс1+33)=5),МайВс1+33, "")</f>
        <v/>
      </c>
      <c r="Q20" s="19" t="str">
        <f>IF(AND(YEAR(МайВс1+34)=Год,MONTH(МайВс1+34)=5),МайВс1+34, "")</f>
        <v/>
      </c>
      <c r="R20" s="1"/>
      <c r="S20" s="19">
        <f>IF(AND(YEAR(АвгВс1+28)=Год,MONTH(АвгВс1+28)=8),АвгВс1+28, "")</f>
        <v>45530</v>
      </c>
      <c r="T20" s="19">
        <f>IF(AND(YEAR(АвгВс1+29)=Год,MONTH(АвгВс1+29)=8),АвгВс1+29, "")</f>
        <v>45531</v>
      </c>
      <c r="U20" s="19">
        <f>IF(AND(YEAR(АвгВс1+30)=Год,MONTH(АвгВс1+30)=8),АвгВс1+30, "")</f>
        <v>45532</v>
      </c>
      <c r="V20" s="19">
        <f>IF(AND(YEAR(АвгВс1+31)=Год,MONTH(АвгВс1+31)=8),АвгВс1+31, "")</f>
        <v>45533</v>
      </c>
      <c r="W20" s="19">
        <f>IF(AND(YEAR(АвгВс1+32)=Год,MONTH(АвгВс1+32)=8),АвгВс1+32, "")</f>
        <v>45534</v>
      </c>
      <c r="X20" s="24">
        <f>IF(AND(YEAR(АвгВс1+33)=Год,MONTH(АвгВс1+33)=8),АвгВс1+33, "")</f>
        <v>45535</v>
      </c>
      <c r="Y20" s="19" t="str">
        <f>IF(AND(YEAR(АвгВс1+34)=Год,MONTH(АвгВс1+34)=8),АвгВс1+34, "")</f>
        <v/>
      </c>
      <c r="Z20" s="1"/>
      <c r="AA20" s="19">
        <f>IF(AND(YEAR(НояВс1+28)=Год,MONTH(НояВс1+28)=11),НояВс1+28, "")</f>
        <v>45621</v>
      </c>
      <c r="AB20" s="19">
        <f>IF(AND(YEAR(НояВс1+29)=Год,MONTH(НояВс1+29)=11),НояВс1+29, "")</f>
        <v>45622</v>
      </c>
      <c r="AC20" s="19">
        <f>IF(AND(YEAR(НояВс1+30)=Год,MONTH(НояВс1+30)=11),НояВс1+30, "")</f>
        <v>45623</v>
      </c>
      <c r="AD20" s="19">
        <f>IF(AND(YEAR(НояВс1+31)=Год,MONTH(НояВс1+31)=11),НояВс1+31, "")</f>
        <v>45624</v>
      </c>
      <c r="AE20" s="19">
        <f>IF(AND(YEAR(НояВс1+32)=Год,MONTH(НояВс1+32)=11),НояВс1+32, "")</f>
        <v>45625</v>
      </c>
      <c r="AF20" s="24">
        <f>IF(AND(YEAR(НояВс1+33)=Год,MONTH(НояВс1+33)=11),НояВс1+33, "")</f>
        <v>45626</v>
      </c>
      <c r="AG20" s="19" t="str">
        <f>IF(AND(YEAR(НояВс1+34)=Год,MONTH(НояВс1+34)=11),НояВс1+34, "")</f>
        <v/>
      </c>
      <c r="AH20" s="9"/>
    </row>
    <row r="21" spans="2:34" x14ac:dyDescent="0.2">
      <c r="B21" s="15"/>
      <c r="C21" s="19" t="str">
        <f>IF(AND(YEAR(ФевВс1+35)=Год,MONTH(ФевВс1+35)=2),ФевВс1+35, "")</f>
        <v/>
      </c>
      <c r="D21" s="19" t="str">
        <f>IF(AND(YEAR(ФевВс1+36)=Год,MONTH(ФевВс1+36)=2),ФевВс1+36, "")</f>
        <v/>
      </c>
      <c r="E21" s="19" t="str">
        <f>IF(AND(YEAR(ФевВс1+37)=Год,MONTH(ФевВс1+37)=2),ФевВс1+37, "")</f>
        <v/>
      </c>
      <c r="F21" s="19" t="str">
        <f>IF(AND(YEAR(ФевВс1+38)=Год,MONTH(ФевВс1+38)=2),ФевВс1+38, "")</f>
        <v/>
      </c>
      <c r="G21" s="19" t="str">
        <f>IF(AND(YEAR(ФевВс1+39)=Год,MONTH(ФевВс1+39)=2),ФевВс1+39, "")</f>
        <v/>
      </c>
      <c r="H21" s="19" t="str">
        <f>IF(AND(YEAR(ФевВс1+40)=Год,MONTH(ФевВс1+40)=2),ФевВс1+40, "")</f>
        <v/>
      </c>
      <c r="I21" s="19" t="str">
        <f>IF(AND(YEAR(ФевВс1+41)=Год,MONTH(ФевВс1+41)=2),ФевВс1+41, "")</f>
        <v/>
      </c>
      <c r="J21" s="16"/>
      <c r="K21" s="19" t="str">
        <f>IF(AND(YEAR(МайВс1+35)=Год,MONTH(МайВс1+35)=5),МайВс1+35, "")</f>
        <v/>
      </c>
      <c r="L21" s="19" t="str">
        <f>IF(AND(YEAR(МайВс1+36)=Год,MONTH(МайВс1+36)=5),МайВс1+36, "")</f>
        <v/>
      </c>
      <c r="M21" s="19" t="str">
        <f>IF(AND(YEAR(МайВс1+37)=Год,MONTH(МайВс1+37)=5),МайВс1+37, "")</f>
        <v/>
      </c>
      <c r="N21" s="19" t="str">
        <f>IF(AND(YEAR(МайВс1+38)=Год,MONTH(МайВс1+38)=5),МайВс1+38, "")</f>
        <v/>
      </c>
      <c r="O21" s="19" t="str">
        <f>IF(AND(YEAR(МайВс1+39)=Год,MONTH(МайВс1+39)=5),МайВс1+39, "")</f>
        <v/>
      </c>
      <c r="P21" s="19" t="str">
        <f>IF(AND(YEAR(МайВс1+40)=Год,MONTH(МайВс1+40)=5),МайВс1+40, "")</f>
        <v/>
      </c>
      <c r="Q21" s="19" t="str">
        <f>IF(AND(YEAR(МайВс1+41)=Год,MONTH(МайВс1+41)=5),МайВс1+41, "")</f>
        <v/>
      </c>
      <c r="R21" s="16"/>
      <c r="S21" s="19" t="str">
        <f>IF(AND(YEAR(АвгВс1+35)=Год,MONTH(АвгВс1+35)=8),АвгВс1+35, "")</f>
        <v/>
      </c>
      <c r="T21" s="19" t="str">
        <f>IF(AND(YEAR(АвгВс1+36)=Год,MONTH(АвгВс1+36)=8),АвгВс1+36, "")</f>
        <v/>
      </c>
      <c r="U21" s="19" t="str">
        <f>IF(AND(YEAR(АвгВс1+37)=Год,MONTH(АвгВс1+37)=8),АвгВс1+37, "")</f>
        <v/>
      </c>
      <c r="V21" s="19" t="str">
        <f>IF(AND(YEAR(АвгВс1+38)=Год,MONTH(АвгВс1+38)=8),АвгВс1+38, "")</f>
        <v/>
      </c>
      <c r="W21" s="19" t="str">
        <f>IF(AND(YEAR(АвгВс1+39)=Год,MONTH(АвгВс1+39)=8),АвгВс1+39, "")</f>
        <v/>
      </c>
      <c r="X21" s="19" t="str">
        <f>IF(AND(YEAR(АвгВс1+40)=Год,MONTH(АвгВс1+40)=8),АвгВс1+40, "")</f>
        <v/>
      </c>
      <c r="Y21" s="19" t="str">
        <f>IF(AND(YEAR(АвгВс1+41)=Год,MONTH(АвгВс1+41)=8),АвгВс1+41, "")</f>
        <v/>
      </c>
      <c r="Z21" s="16"/>
      <c r="AA21" s="19" t="str">
        <f>IF(AND(YEAR(НояВс1+35)=Год,MONTH(НояВс1+35)=11),НояВс1+35, "")</f>
        <v/>
      </c>
      <c r="AB21" s="19" t="str">
        <f>IF(AND(YEAR(НояВс1+36)=Год,MONTH(НояВс1+36)=11),НояВс1+36, "")</f>
        <v/>
      </c>
      <c r="AC21" s="19" t="str">
        <f>IF(AND(YEAR(НояВс1+37)=Год,MONTH(НояВс1+37)=11),НояВс1+37, "")</f>
        <v/>
      </c>
      <c r="AD21" s="19" t="str">
        <f>IF(AND(YEAR(НояВс1+38)=Год,MONTH(НояВс1+38)=11),НояВс1+38, "")</f>
        <v/>
      </c>
      <c r="AE21" s="19" t="str">
        <f>IF(AND(YEAR(НояВс1+39)=Год,MONTH(НояВс1+39)=11),НояВс1+39, "")</f>
        <v/>
      </c>
      <c r="AF21" s="19" t="str">
        <f>IF(AND(YEAR(НояВс1+40)=Год,MONTH(НояВс1+40)=11),НояВс1+40, "")</f>
        <v/>
      </c>
      <c r="AG21" s="19" t="str">
        <f>IF(AND(YEAR(НояВс1+41)=Год,MONTH(НояВс1+41)=11),НояВс1+41, "")</f>
        <v/>
      </c>
      <c r="AH21" s="17"/>
    </row>
    <row r="22" spans="2:34" ht="4.5" customHeight="1" x14ac:dyDescent="0.2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</row>
    <row r="23" spans="2:34" x14ac:dyDescent="0.2">
      <c r="B23" s="8"/>
      <c r="C23" s="31" t="s">
        <v>3</v>
      </c>
      <c r="D23" s="31"/>
      <c r="E23" s="31"/>
      <c r="F23" s="31"/>
      <c r="G23" s="31"/>
      <c r="H23" s="31"/>
      <c r="I23" s="31"/>
      <c r="J23" s="1"/>
      <c r="K23" s="31" t="s">
        <v>13</v>
      </c>
      <c r="L23" s="31"/>
      <c r="M23" s="31"/>
      <c r="N23" s="31"/>
      <c r="O23" s="31"/>
      <c r="P23" s="31"/>
      <c r="Q23" s="31"/>
      <c r="R23" s="1"/>
      <c r="S23" s="31" t="s">
        <v>16</v>
      </c>
      <c r="T23" s="31"/>
      <c r="U23" s="31"/>
      <c r="V23" s="31"/>
      <c r="W23" s="31"/>
      <c r="X23" s="31"/>
      <c r="Y23" s="31"/>
      <c r="Z23" s="1"/>
      <c r="AA23" s="31" t="s">
        <v>19</v>
      </c>
      <c r="AB23" s="31"/>
      <c r="AC23" s="31"/>
      <c r="AD23" s="31"/>
      <c r="AE23" s="31"/>
      <c r="AF23" s="31"/>
      <c r="AG23" s="31"/>
      <c r="AH23" s="9"/>
    </row>
    <row r="24" spans="2:34" x14ac:dyDescent="0.2">
      <c r="B24" s="8"/>
      <c r="C24" s="3" t="s">
        <v>1</v>
      </c>
      <c r="D24" s="3" t="s">
        <v>4</v>
      </c>
      <c r="E24" s="3" t="s">
        <v>6</v>
      </c>
      <c r="F24" s="3" t="s">
        <v>5</v>
      </c>
      <c r="G24" s="3" t="s">
        <v>7</v>
      </c>
      <c r="H24" s="4" t="s">
        <v>8</v>
      </c>
      <c r="I24" s="4" t="s">
        <v>9</v>
      </c>
      <c r="J24" s="1"/>
      <c r="K24" s="3" t="s">
        <v>1</v>
      </c>
      <c r="L24" s="3" t="s">
        <v>4</v>
      </c>
      <c r="M24" s="3" t="s">
        <v>6</v>
      </c>
      <c r="N24" s="3" t="s">
        <v>5</v>
      </c>
      <c r="O24" s="3" t="s">
        <v>7</v>
      </c>
      <c r="P24" s="4" t="s">
        <v>8</v>
      </c>
      <c r="Q24" s="4" t="s">
        <v>9</v>
      </c>
      <c r="R24" s="1"/>
      <c r="S24" s="3" t="s">
        <v>1</v>
      </c>
      <c r="T24" s="3" t="s">
        <v>4</v>
      </c>
      <c r="U24" s="3" t="s">
        <v>6</v>
      </c>
      <c r="V24" s="3" t="s">
        <v>5</v>
      </c>
      <c r="W24" s="3" t="s">
        <v>7</v>
      </c>
      <c r="X24" s="4" t="s">
        <v>8</v>
      </c>
      <c r="Y24" s="4" t="s">
        <v>9</v>
      </c>
      <c r="Z24" s="1"/>
      <c r="AA24" s="3" t="s">
        <v>1</v>
      </c>
      <c r="AB24" s="3" t="s">
        <v>4</v>
      </c>
      <c r="AC24" s="3" t="s">
        <v>6</v>
      </c>
      <c r="AD24" s="3" t="s">
        <v>5</v>
      </c>
      <c r="AE24" s="3" t="s">
        <v>7</v>
      </c>
      <c r="AF24" s="4" t="s">
        <v>8</v>
      </c>
      <c r="AG24" s="4" t="s">
        <v>9</v>
      </c>
      <c r="AH24" s="9"/>
    </row>
    <row r="25" spans="2:34" x14ac:dyDescent="0.2">
      <c r="B25" s="8"/>
      <c r="C25" s="18" t="str">
        <f>IF(AND(YEAR(МарВс1)=Год,MONTH(МарВс1)=3),МарВс1, "")</f>
        <v/>
      </c>
      <c r="D25" s="18" t="str">
        <f>IF(AND(YEAR(МарВс1+1)=Год,MONTH(МарВс1+1)=3),МарВс1+1, "")</f>
        <v/>
      </c>
      <c r="E25" s="18" t="str">
        <f>IF(AND(YEAR(МарВс1+2)=Год,MONTH(МарВс1+2)=3),МарВс1+2, "")</f>
        <v/>
      </c>
      <c r="F25" s="18" t="str">
        <f>IF(AND(YEAR(МарВс1+3)=Год,MONTH(МарВс1+3)=3),МарВс1+3, "")</f>
        <v/>
      </c>
      <c r="G25" s="18">
        <f>IF(AND(YEAR(МарВс1+4)=Год,MONTH(МарВс1+4)=3),МарВс1+4, "")</f>
        <v>45352</v>
      </c>
      <c r="H25" s="25">
        <f>IF(AND(YEAR(МарВс1+5)=Год,MONTH(МарВс1+5)=3),МарВс1+5, "")</f>
        <v>45353</v>
      </c>
      <c r="I25" s="25">
        <f>IF(AND(YEAR(МарВс1+6)=Год,MONTH(МарВс1+6)=3),МарВс1+6, "")</f>
        <v>45354</v>
      </c>
      <c r="J25" s="1"/>
      <c r="K25" s="18" t="str">
        <f>IF(AND(YEAR(ИюнВс1)=Год,MONTH(ИюнВс1)=6),ИюнВс1, "")</f>
        <v/>
      </c>
      <c r="L25" s="18" t="str">
        <f>IF(AND(YEAR(ИюнВс1+1)=Год,MONTH(ИюнВс1+1)=6),ИюнВс1+1, "")</f>
        <v/>
      </c>
      <c r="M25" s="18" t="str">
        <f>IF(AND(YEAR(ИюнВс1+2)=Год,MONTH(ИюнВс1+2)=6),ИюнВс1+2, "")</f>
        <v/>
      </c>
      <c r="N25" s="18" t="str">
        <f>IF(AND(YEAR(ИюнВс1+3)=Год,MONTH(ИюнВс1+3)=6),ИюнВс1+3, "")</f>
        <v/>
      </c>
      <c r="O25" s="18" t="str">
        <f>IF(AND(YEAR(ИюнВс1+4)=Год,MONTH(ИюнВс1+4)=6),ИюнВс1+4, "")</f>
        <v/>
      </c>
      <c r="P25" s="25">
        <f>IF(AND(YEAR(ИюнВс1+5)=Год,MONTH(ИюнВс1+5)=6),ИюнВс1+5, "")</f>
        <v>45444</v>
      </c>
      <c r="Q25" s="25">
        <f>IF(AND(YEAR(ИюнВс1+6)=Год,MONTH(ИюнВс1+6)=6),ИюнВс1+6, "")</f>
        <v>45445</v>
      </c>
      <c r="R25" s="1"/>
      <c r="S25" s="18" t="str">
        <f>IF(AND(YEAR(СенВс1)=Год,MONTH(СенВс1)=9),СенВс1, "")</f>
        <v/>
      </c>
      <c r="T25" s="18" t="str">
        <f>IF(AND(YEAR(СенВс1+1)=Год,MONTH(СенВс1+1)=9),СенВс1+1, "")</f>
        <v/>
      </c>
      <c r="U25" s="18" t="str">
        <f>IF(AND(YEAR(СенВс1+2)=Год,MONTH(СенВс1+2)=9),СенВс1+2, "")</f>
        <v/>
      </c>
      <c r="V25" s="18" t="str">
        <f>IF(AND(YEAR(СенВс1+3)=Год,MONTH(СенВс1+3)=9),СенВс1+3, "")</f>
        <v/>
      </c>
      <c r="W25" s="18" t="str">
        <f>IF(AND(YEAR(СенВс1+4)=Год,MONTH(СенВс1+4)=9),СенВс1+4, "")</f>
        <v/>
      </c>
      <c r="X25" s="18" t="str">
        <f>IF(AND(YEAR(СенВс1+5)=Год,MONTH(СенВс1+5)=9),СенВс1+5, "")</f>
        <v/>
      </c>
      <c r="Y25" s="25">
        <f>IF(AND(YEAR(СенВс1+6)=Год,MONTH(СенВс1+6)=9),СенВс1+6, "")</f>
        <v>45536</v>
      </c>
      <c r="Z25" s="1"/>
      <c r="AA25" s="18" t="str">
        <f>IF(AND(YEAR(ДекВс1)=Год,MONTH(ДекВс1)=12),ДекВс1, "")</f>
        <v/>
      </c>
      <c r="AB25" s="18" t="str">
        <f>IF(AND(YEAR(ДекВс1+1)=Год,MONTH(ДекВс1+1)=12),ДекВс1+1, "")</f>
        <v/>
      </c>
      <c r="AC25" s="18" t="str">
        <f>IF(AND(YEAR(ДекВс1+2)=Год,MONTH(ДекВс1+2)=12),ДекВс1+2, "")</f>
        <v/>
      </c>
      <c r="AD25" s="18" t="str">
        <f>IF(AND(YEAR(ДекВс1+3)=Год,MONTH(ДекВс1+3)=12),ДекВс1+3, "")</f>
        <v/>
      </c>
      <c r="AE25" s="18" t="str">
        <f>IF(AND(YEAR(ДекВс1+4)=Год,MONTH(ДекВс1+4)=12),ДекВс1+4, "")</f>
        <v/>
      </c>
      <c r="AF25" s="18" t="str">
        <f>IF(AND(YEAR(ДекВс1+5)=Год,MONTH(ДекВс1+5)=12),ДекВс1+5, "")</f>
        <v/>
      </c>
      <c r="AG25" s="25">
        <f>IF(AND(YEAR(ДекВс1+6)=Год,MONTH(ДекВс1+6)=12),ДекВс1+6, "")</f>
        <v>45627</v>
      </c>
      <c r="AH25" s="9"/>
    </row>
    <row r="26" spans="2:34" x14ac:dyDescent="0.2">
      <c r="B26" s="8"/>
      <c r="C26" s="19">
        <f>IF(AND(YEAR(МарВс1+7)=Год,MONTH(МарВс1+7)=3),МарВс1+7, "")</f>
        <v>45355</v>
      </c>
      <c r="D26" s="19">
        <f>IF(AND(YEAR(МарВс1+8)=Год,MONTH(МарВс1+8)=3),МарВс1+8, "")</f>
        <v>45356</v>
      </c>
      <c r="E26" s="19">
        <f>IF(AND(YEAR(МарВс1+9)=Год,MONTH(МарВс1+9)=3),МарВс1+9, "")</f>
        <v>45357</v>
      </c>
      <c r="F26" s="19">
        <f>IF(AND(YEAR(МарВс1+10)=Год,MONTH(МарВс1+10)=3),МарВс1+10, "")</f>
        <v>45358</v>
      </c>
      <c r="G26" s="24">
        <f>IF(AND(YEAR(МарВс1+11)=Год,MONTH(МарВс1+11)=3),МарВс1+11, "")</f>
        <v>45359</v>
      </c>
      <c r="H26" s="24">
        <f>IF(AND(YEAR(МарВс1+12)=Год,MONTH(МарВс1+12)=3),МарВс1+12, "")</f>
        <v>45360</v>
      </c>
      <c r="I26" s="24">
        <f>IF(AND(YEAR(МарВс1+13)=Год,MONTH(МарВс1+13)=3),МарВс1+13, "")</f>
        <v>45361</v>
      </c>
      <c r="J26" s="1"/>
      <c r="K26" s="19">
        <f>IF(AND(YEAR(ИюнВс1+7)=Год,MONTH(ИюнВс1+7)=6),ИюнВс1+7, "")</f>
        <v>45446</v>
      </c>
      <c r="L26" s="19">
        <f>IF(AND(YEAR(ИюнВс1+8)=Год,MONTH(ИюнВс1+8)=6),ИюнВс1+8, "")</f>
        <v>45447</v>
      </c>
      <c r="M26" s="19">
        <f>IF(AND(YEAR(ИюнВс1+9)=Год,MONTH(ИюнВс1+9)=6),ИюнВс1+9, "")</f>
        <v>45448</v>
      </c>
      <c r="N26" s="19">
        <f>IF(AND(YEAR(ИюнВс1+10)=Год,MONTH(ИюнВс1+10)=6),ИюнВс1+10, "")</f>
        <v>45449</v>
      </c>
      <c r="O26" s="19">
        <f>IF(AND(YEAR(ИюнВс1+11)=Год,MONTH(ИюнВс1+11)=6),ИюнВс1+11, "")</f>
        <v>45450</v>
      </c>
      <c r="P26" s="24">
        <f>IF(AND(YEAR(ИюнВс1+12)=Год,MONTH(ИюнВс1+12)=6),ИюнВс1+12, "")</f>
        <v>45451</v>
      </c>
      <c r="Q26" s="24">
        <f>IF(AND(YEAR(ИюнВс1+13)=Год,MONTH(ИюнВс1+13)=6),ИюнВс1+13, "")</f>
        <v>45452</v>
      </c>
      <c r="R26" s="1"/>
      <c r="S26" s="19">
        <f>IF(AND(YEAR(СенВс1+7)=Год,MONTH(СенВс1+7)=9),СенВс1+7, "")</f>
        <v>45537</v>
      </c>
      <c r="T26" s="19">
        <f>IF(AND(YEAR(СенВс1+8)=Год,MONTH(СенВс1+8)=9),СенВс1+8, "")</f>
        <v>45538</v>
      </c>
      <c r="U26" s="19">
        <f>IF(AND(YEAR(СенВс1+9)=Год,MONTH(СенВс1+9)=9),СенВс1+9, "")</f>
        <v>45539</v>
      </c>
      <c r="V26" s="19">
        <f>IF(AND(YEAR(СенВс1+10)=Год,MONTH(СенВс1+10)=9),СенВс1+10, "")</f>
        <v>45540</v>
      </c>
      <c r="W26" s="19">
        <f>IF(AND(YEAR(СенВс1+11)=Год,MONTH(СенВс1+11)=9),СенВс1+11, "")</f>
        <v>45541</v>
      </c>
      <c r="X26" s="24">
        <f>IF(AND(YEAR(СенВс1+12)=Год,MONTH(СенВс1+12)=9),СенВс1+12, "")</f>
        <v>45542</v>
      </c>
      <c r="Y26" s="24">
        <f>IF(AND(YEAR(СенВс1+13)=Год,MONTH(СенВс1+13)=9),СенВс1+13, "")</f>
        <v>45543</v>
      </c>
      <c r="Z26" s="1"/>
      <c r="AA26" s="19">
        <f>IF(AND(YEAR(ДекВс1+7)=Год,MONTH(ДекВс1+7)=12),ДекВс1+7, "")</f>
        <v>45628</v>
      </c>
      <c r="AB26" s="19">
        <f>IF(AND(YEAR(ДекВс1+8)=Год,MONTH(ДекВс1+8)=12),ДекВс1+8, "")</f>
        <v>45629</v>
      </c>
      <c r="AC26" s="19">
        <f>IF(AND(YEAR(ДекВс1+9)=Год,MONTH(ДекВс1+9)=12),ДекВс1+9, "")</f>
        <v>45630</v>
      </c>
      <c r="AD26" s="19">
        <f>IF(AND(YEAR(ДекВс1+10)=Год,MONTH(ДекВс1+10)=12),ДекВс1+10, "")</f>
        <v>45631</v>
      </c>
      <c r="AE26" s="19">
        <f>IF(AND(YEAR(ДекВс1+11)=Год,MONTH(ДекВс1+11)=12),ДекВс1+11, "")</f>
        <v>45632</v>
      </c>
      <c r="AF26" s="24">
        <f>IF(AND(YEAR(ДекВс1+12)=Год,MONTH(ДекВс1+12)=12),ДекВс1+12, "")</f>
        <v>45633</v>
      </c>
      <c r="AG26" s="24">
        <f>IF(AND(YEAR(ДекВс1+13)=Год,MONTH(ДекВс1+13)=12),ДекВс1+13, "")</f>
        <v>45634</v>
      </c>
      <c r="AH26" s="9"/>
    </row>
    <row r="27" spans="2:34" x14ac:dyDescent="0.2">
      <c r="B27" s="8"/>
      <c r="C27" s="19">
        <f>IF(AND(YEAR(МарВс1+14)=Год,MONTH(МарВс1+14)=3),МарВс1+14, "")</f>
        <v>45362</v>
      </c>
      <c r="D27" s="19">
        <f>IF(AND(YEAR(МарВс1+15)=Год,MONTH(МарВс1+15)=3),МарВс1+15, "")</f>
        <v>45363</v>
      </c>
      <c r="E27" s="19">
        <f>IF(AND(YEAR(МарВс1+16)=Год,MONTH(МарВс1+16)=3),МарВс1+16, "")</f>
        <v>45364</v>
      </c>
      <c r="F27" s="19">
        <f>IF(AND(YEAR(МарВс1+17)=Год,MONTH(МарВс1+17)=3),МарВс1+17, "")</f>
        <v>45365</v>
      </c>
      <c r="G27" s="19">
        <f>IF(AND(YEAR(МарВс1+18)=Год,MONTH(МарВс1+18)=3),МарВс1+18, "")</f>
        <v>45366</v>
      </c>
      <c r="H27" s="24">
        <f>IF(AND(YEAR(МарВс1+19)=Год,MONTH(МарВс1+19)=3),МарВс1+19, "")</f>
        <v>45367</v>
      </c>
      <c r="I27" s="24">
        <f>IF(AND(YEAR(МарВс1+20)=Год,MONTH(МарВс1+20)=3),МарВс1+20, "")</f>
        <v>45368</v>
      </c>
      <c r="J27" s="1"/>
      <c r="K27" s="19">
        <f>IF(AND(YEAR(ИюнВс1+14)=Год,MONTH(ИюнВс1+14)=6),ИюнВс1+14, "")</f>
        <v>45453</v>
      </c>
      <c r="L27" s="19">
        <f>IF(AND(YEAR(ИюнВс1+15)=Год,MONTH(ИюнВс1+15)=6),ИюнВс1+15, "")</f>
        <v>45454</v>
      </c>
      <c r="M27" s="24">
        <f>IF(AND(YEAR(ИюнВс1+16)=Год,MONTH(ИюнВс1+16)=6),ИюнВс1+16, "")</f>
        <v>45455</v>
      </c>
      <c r="N27" s="19">
        <f>IF(AND(YEAR(ИюнВс1+17)=Год,MONTH(ИюнВс1+17)=6),ИюнВс1+17, "")</f>
        <v>45456</v>
      </c>
      <c r="O27" s="19">
        <f>IF(AND(YEAR(ИюнВс1+18)=Год,MONTH(ИюнВс1+18)=6),ИюнВс1+18, "")</f>
        <v>45457</v>
      </c>
      <c r="P27" s="24">
        <f>IF(AND(YEAR(ИюнВс1+19)=Год,MONTH(ИюнВс1+19)=6),ИюнВс1+19, "")</f>
        <v>45458</v>
      </c>
      <c r="Q27" s="24">
        <f>IF(AND(YEAR(ИюнВс1+20)=Год,MONTH(ИюнВс1+20)=6),ИюнВс1+20, "")</f>
        <v>45459</v>
      </c>
      <c r="R27" s="1"/>
      <c r="S27" s="19">
        <f>IF(AND(YEAR(СенВс1+14)=Год,MONTH(СенВс1+14)=9),СенВс1+14, "")</f>
        <v>45544</v>
      </c>
      <c r="T27" s="19">
        <f>IF(AND(YEAR(СенВс1+15)=Год,MONTH(СенВс1+15)=9),СенВс1+15, "")</f>
        <v>45545</v>
      </c>
      <c r="U27" s="19">
        <f>IF(AND(YEAR(СенВс1+16)=Год,MONTH(СенВс1+16)=9),СенВс1+16, "")</f>
        <v>45546</v>
      </c>
      <c r="V27" s="19">
        <f>IF(AND(YEAR(СенВс1+17)=Год,MONTH(СенВс1+17)=9),СенВс1+17, "")</f>
        <v>45547</v>
      </c>
      <c r="W27" s="19">
        <f>IF(AND(YEAR(СенВс1+18)=Год,MONTH(СенВс1+18)=9),СенВс1+18, "")</f>
        <v>45548</v>
      </c>
      <c r="X27" s="24">
        <f>IF(AND(YEAR(СенВс1+19)=Год,MONTH(СенВс1+19)=9),СенВс1+19, "")</f>
        <v>45549</v>
      </c>
      <c r="Y27" s="24">
        <f>IF(AND(YEAR(СенВс1+20)=Год,MONTH(СенВс1+20)=9),СенВс1+20, "")</f>
        <v>45550</v>
      </c>
      <c r="Z27" s="1"/>
      <c r="AA27" s="19">
        <f>IF(AND(YEAR(ДекВс1+14)=Год,MONTH(ДекВс1+14)=12),ДекВс1+14, "")</f>
        <v>45635</v>
      </c>
      <c r="AB27" s="19">
        <f>IF(AND(YEAR(ДекВс1+15)=Год,MONTH(ДекВс1+15)=12),ДекВс1+15, "")</f>
        <v>45636</v>
      </c>
      <c r="AC27" s="19">
        <f>IF(AND(YEAR(ДекВс1+16)=Год,MONTH(ДекВс1+16)=12),ДекВс1+16, "")</f>
        <v>45637</v>
      </c>
      <c r="AD27" s="19">
        <f>IF(AND(YEAR(ДекВс1+17)=Год,MONTH(ДекВс1+17)=12),ДекВс1+17, "")</f>
        <v>45638</v>
      </c>
      <c r="AE27" s="19">
        <f>IF(AND(YEAR(ДекВс1+18)=Год,MONTH(ДекВс1+18)=12),ДекВс1+18, "")</f>
        <v>45639</v>
      </c>
      <c r="AF27" s="24">
        <f>IF(AND(YEAR(ДекВс1+19)=Год,MONTH(ДекВс1+19)=12),ДекВс1+19, "")</f>
        <v>45640</v>
      </c>
      <c r="AG27" s="24">
        <f>IF(AND(YEAR(ДекВс1+20)=Год,MONTH(ДекВс1+20)=12),ДекВс1+20, "")</f>
        <v>45641</v>
      </c>
      <c r="AH27" s="9"/>
    </row>
    <row r="28" spans="2:34" x14ac:dyDescent="0.2">
      <c r="B28" s="8"/>
      <c r="C28" s="19">
        <f>IF(AND(YEAR(МарВс1+21)=Год,MONTH(МарВс1+21)=3),МарВс1+21, "")</f>
        <v>45369</v>
      </c>
      <c r="D28" s="19">
        <f>IF(AND(YEAR(МарВс1+22)=Год,MONTH(МарВс1+22)=3),МарВс1+22, "")</f>
        <v>45370</v>
      </c>
      <c r="E28" s="19">
        <f>IF(AND(YEAR(МарВс1+23)=Год,MONTH(МарВс1+23)=3),МарВс1+23, "")</f>
        <v>45371</v>
      </c>
      <c r="F28" s="19">
        <f>IF(AND(YEAR(МарВс1+24)=Год,MONTH(МарВс1+24)=3),МарВс1+24, "")</f>
        <v>45372</v>
      </c>
      <c r="G28" s="19">
        <f>IF(AND(YEAR(МарВс1+25)=Год,MONTH(МарВс1+25)=3),МарВс1+25, "")</f>
        <v>45373</v>
      </c>
      <c r="H28" s="24">
        <f>IF(AND(YEAR(МарВс1+26)=Год,MONTH(МарВс1+26)=3),МарВс1+26, "")</f>
        <v>45374</v>
      </c>
      <c r="I28" s="24">
        <f>IF(AND(YEAR(МарВс1+27)=Год,MONTH(МарВс1+27)=3),МарВс1+27, "")</f>
        <v>45375</v>
      </c>
      <c r="J28" s="1"/>
      <c r="K28" s="19">
        <f>IF(AND(YEAR(ИюнВс1+21)=Год,MONTH(ИюнВс1+21)=6),ИюнВс1+21, "")</f>
        <v>45460</v>
      </c>
      <c r="L28" s="19">
        <f>IF(AND(YEAR(ИюнВс1+22)=Год,MONTH(ИюнВс1+22)=6),ИюнВс1+22, "")</f>
        <v>45461</v>
      </c>
      <c r="M28" s="19">
        <f>IF(AND(YEAR(ИюнВс1+23)=Год,MONTH(ИюнВс1+23)=6),ИюнВс1+23, "")</f>
        <v>45462</v>
      </c>
      <c r="N28" s="19">
        <f>IF(AND(YEAR(ИюнВс1+24)=Год,MONTH(ИюнВс1+24)=6),ИюнВс1+24, "")</f>
        <v>45463</v>
      </c>
      <c r="O28" s="19">
        <f>IF(AND(YEAR(ИюнВс1+25)=Год,MONTH(ИюнВс1+25)=6),ИюнВс1+25, "")</f>
        <v>45464</v>
      </c>
      <c r="P28" s="24">
        <f>IF(AND(YEAR(ИюнВс1+26)=Год,MONTH(ИюнВс1+26)=6),ИюнВс1+26, "")</f>
        <v>45465</v>
      </c>
      <c r="Q28" s="24">
        <f>IF(AND(YEAR(ИюнВс1+27)=Год,MONTH(ИюнВс1+27)=6),ИюнВс1+27, "")</f>
        <v>45466</v>
      </c>
      <c r="R28" s="1"/>
      <c r="S28" s="19">
        <f>IF(AND(YEAR(СенВс1+21)=Год,MONTH(СенВс1+21)=9),СенВс1+21, "")</f>
        <v>45551</v>
      </c>
      <c r="T28" s="19">
        <f>IF(AND(YEAR(СенВс1+22)=Год,MONTH(СенВс1+22)=9),СенВс1+22, "")</f>
        <v>45552</v>
      </c>
      <c r="U28" s="19">
        <f>IF(AND(YEAR(СенВс1+23)=Год,MONTH(СенВс1+23)=9),СенВс1+23, "")</f>
        <v>45553</v>
      </c>
      <c r="V28" s="19">
        <f>IF(AND(YEAR(СенВс1+24)=Год,MONTH(СенВс1+24)=9),СенВс1+24, "")</f>
        <v>45554</v>
      </c>
      <c r="W28" s="19">
        <f>IF(AND(YEAR(СенВс1+25)=Год,MONTH(СенВс1+25)=9),СенВс1+25, "")</f>
        <v>45555</v>
      </c>
      <c r="X28" s="24">
        <f>IF(AND(YEAR(СенВс1+26)=Год,MONTH(СенВс1+26)=9),СенВс1+26, "")</f>
        <v>45556</v>
      </c>
      <c r="Y28" s="24">
        <f>IF(AND(YEAR(СенВс1+27)=Год,MONTH(СенВс1+27)=9),СенВс1+27, "")</f>
        <v>45557</v>
      </c>
      <c r="Z28" s="1"/>
      <c r="AA28" s="19">
        <f>IF(AND(YEAR(ДекВс1+21)=Год,MONTH(ДекВс1+21)=12),ДекВс1+21, "")</f>
        <v>45642</v>
      </c>
      <c r="AB28" s="19">
        <f>IF(AND(YEAR(ДекВс1+22)=Год,MONTH(ДекВс1+22)=12),ДекВс1+22, "")</f>
        <v>45643</v>
      </c>
      <c r="AC28" s="19">
        <f>IF(AND(YEAR(ДекВс1+23)=Год,MONTH(ДекВс1+23)=12),ДекВс1+23, "")</f>
        <v>45644</v>
      </c>
      <c r="AD28" s="19">
        <f>IF(AND(YEAR(ДекВс1+24)=Год,MONTH(ДекВс1+24)=12),ДекВс1+24, "")</f>
        <v>45645</v>
      </c>
      <c r="AE28" s="19">
        <f>IF(AND(YEAR(ДекВс1+25)=Год,MONTH(ДекВс1+25)=12),ДекВс1+25, "")</f>
        <v>45646</v>
      </c>
      <c r="AF28" s="24">
        <f>IF(AND(YEAR(ДекВс1+26)=Год,MONTH(ДекВс1+26)=12),ДекВс1+26, "")</f>
        <v>45647</v>
      </c>
      <c r="AG28" s="24">
        <f>IF(AND(YEAR(ДекВс1+27)=Год,MONTH(ДекВс1+27)=12),ДекВс1+27, "")</f>
        <v>45648</v>
      </c>
      <c r="AH28" s="9"/>
    </row>
    <row r="29" spans="2:34" x14ac:dyDescent="0.2">
      <c r="B29" s="8"/>
      <c r="C29" s="19">
        <f>IF(AND(YEAR(МарВс1+28)=Год,MONTH(МарВс1+28)=3),МарВс1+28, "")</f>
        <v>45376</v>
      </c>
      <c r="D29" s="19">
        <f>IF(AND(YEAR(МарВс1+29)=Год,MONTH(МарВс1+29)=3),МарВс1+29, "")</f>
        <v>45377</v>
      </c>
      <c r="E29" s="19">
        <f>IF(AND(YEAR(МарВс1+30)=Год,MONTH(МарВс1+30)=3),МарВс1+30, "")</f>
        <v>45378</v>
      </c>
      <c r="F29" s="19">
        <f>IF(AND(YEAR(МарВс1+31)=Год,MONTH(МарВс1+31)=3),МарВс1+31, "")</f>
        <v>45379</v>
      </c>
      <c r="G29" s="19">
        <f>IF(AND(YEAR(МарВс1+32)=Год,MONTH(МарВс1+32)=3),МарВс1+32, "")</f>
        <v>45380</v>
      </c>
      <c r="H29" s="24">
        <f>IF(AND(YEAR(МарВс1+33)=Год,MONTH(МарВс1+33)=3),МарВс1+33, "")</f>
        <v>45381</v>
      </c>
      <c r="I29" s="24">
        <f>IF(AND(YEAR(МарВс1+34)=Год,MONTH(МарВс1+34)=3),МарВс1+34, "")</f>
        <v>45382</v>
      </c>
      <c r="J29" s="1"/>
      <c r="K29" s="19">
        <f>IF(AND(YEAR(ИюнВс1+28)=Год,MONTH(ИюнВс1+28)=6),ИюнВс1+28, "")</f>
        <v>45467</v>
      </c>
      <c r="L29" s="19">
        <f>IF(AND(YEAR(ИюнВс1+29)=Год,MONTH(ИюнВс1+29)=6),ИюнВс1+29, "")</f>
        <v>45468</v>
      </c>
      <c r="M29" s="19">
        <f>IF(AND(YEAR(ИюнВс1+30)=Год,MONTH(ИюнВс1+30)=6),ИюнВс1+30, "")</f>
        <v>45469</v>
      </c>
      <c r="N29" s="19">
        <f>IF(AND(YEAR(ИюнВс1+31)=Год,MONTH(ИюнВс1+31)=6),ИюнВс1+31, "")</f>
        <v>45470</v>
      </c>
      <c r="O29" s="19">
        <f>IF(AND(YEAR(ИюнВс1+32)=Год,MONTH(ИюнВс1+32)=6),ИюнВс1+32, "")</f>
        <v>45471</v>
      </c>
      <c r="P29" s="24">
        <f>IF(AND(YEAR(ИюнВс1+33)=Год,MONTH(ИюнВс1+33)=6),ИюнВс1+33, "")</f>
        <v>45472</v>
      </c>
      <c r="Q29" s="24">
        <f>IF(AND(YEAR(ИюнВс1+34)=Год,MONTH(ИюнВс1+34)=6),ИюнВс1+34, "")</f>
        <v>45473</v>
      </c>
      <c r="R29" s="1"/>
      <c r="S29" s="19">
        <f>IF(AND(YEAR(СенВс1+28)=Год,MONTH(СенВс1+28)=9),СенВс1+28, "")</f>
        <v>45558</v>
      </c>
      <c r="T29" s="19">
        <f>IF(AND(YEAR(СенВс1+29)=Год,MONTH(СенВс1+29)=9),СенВс1+29, "")</f>
        <v>45559</v>
      </c>
      <c r="U29" s="19">
        <f>IF(AND(YEAR(СенВс1+30)=Год,MONTH(СенВс1+30)=9),СенВс1+30, "")</f>
        <v>45560</v>
      </c>
      <c r="V29" s="19">
        <f>IF(AND(YEAR(СенВс1+31)=Год,MONTH(СенВс1+31)=9),СенВс1+31, "")</f>
        <v>45561</v>
      </c>
      <c r="W29" s="19">
        <f>IF(AND(YEAR(СенВс1+32)=Год,MONTH(СенВс1+32)=9),СенВс1+32, "")</f>
        <v>45562</v>
      </c>
      <c r="X29" s="24">
        <f>IF(AND(YEAR(СенВс1+33)=Год,MONTH(СенВс1+33)=9),СенВс1+33, "")</f>
        <v>45563</v>
      </c>
      <c r="Y29" s="24">
        <f>IF(AND(YEAR(СенВс1+34)=Год,MONTH(СенВс1+34)=9),СенВс1+34, "")</f>
        <v>45564</v>
      </c>
      <c r="Z29" s="1"/>
      <c r="AA29" s="19">
        <f>IF(AND(YEAR(ДекВс1+28)=Год,MONTH(ДекВс1+28)=12),ДекВс1+28, "")</f>
        <v>45649</v>
      </c>
      <c r="AB29" s="19">
        <f>IF(AND(YEAR(ДекВс1+29)=Год,MONTH(ДекВс1+29)=12),ДекВс1+29, "")</f>
        <v>45650</v>
      </c>
      <c r="AC29" s="19">
        <f>IF(AND(YEAR(ДекВс1+30)=Год,MONTH(ДекВс1+30)=12),ДекВс1+30, "")</f>
        <v>45651</v>
      </c>
      <c r="AD29" s="19">
        <f>IF(AND(YEAR(ДекВс1+31)=Год,MONTH(ДекВс1+31)=12),ДекВс1+31, "")</f>
        <v>45652</v>
      </c>
      <c r="AE29" s="19">
        <f>IF(AND(YEAR(ДекВс1+32)=Год,MONTH(ДекВс1+32)=12),ДекВс1+32, "")</f>
        <v>45653</v>
      </c>
      <c r="AF29" s="27">
        <f>IF(AND(YEAR(ДекВс1+33)=Год,MONTH(ДекВс1+33)=12),ДекВс1+33, "")</f>
        <v>45654</v>
      </c>
      <c r="AG29" s="24">
        <f>IF(AND(YEAR(ДекВс1+34)=Год,MONTH(ДекВс1+34)=12),ДекВс1+34, "")</f>
        <v>45655</v>
      </c>
      <c r="AH29" s="9"/>
    </row>
    <row r="30" spans="2:34" x14ac:dyDescent="0.2">
      <c r="B30" s="8"/>
      <c r="C30" s="19" t="str">
        <f>IF(AND(YEAR(МарВс1+35)=Год,MONTH(МарВс1+35)=3),МарВс1+35, "")</f>
        <v/>
      </c>
      <c r="D30" s="19" t="str">
        <f>IF(AND(YEAR(МарВс1+36)=Год,MONTH(МарВс1+36)=3),МарВс1+36, "")</f>
        <v/>
      </c>
      <c r="E30" s="19" t="str">
        <f>IF(AND(YEAR(МарВс1+37)=Год,MONTH(МарВс1+37)=3),МарВс1+37, "")</f>
        <v/>
      </c>
      <c r="F30" s="19" t="str">
        <f>IF(AND(YEAR(МарВс1+38)=Год,MONTH(МарВс1+38)=3),МарВс1+38, "")</f>
        <v/>
      </c>
      <c r="G30" s="19" t="str">
        <f>IF(AND(YEAR(МарВс1+39)=Год,MONTH(МарВс1+39)=3),МарВс1+39, "")</f>
        <v/>
      </c>
      <c r="H30" s="19" t="str">
        <f>IF(AND(YEAR(МарВс1+40)=Год,MONTH(МарВс1+40)=3),МарВс1+40, "")</f>
        <v/>
      </c>
      <c r="I30" s="19" t="str">
        <f>IF(AND(YEAR(МарВс1+41)=Год,MONTH(МарВс1+41)=3),МарВс1+41, "")</f>
        <v/>
      </c>
      <c r="J30" s="2"/>
      <c r="K30" s="19" t="str">
        <f>IF(AND(YEAR(ИюнВс1+35)=Год,MONTH(ИюнВс1+35)=6),ИюнВс1+35, "")</f>
        <v/>
      </c>
      <c r="L30" s="19" t="str">
        <f>IF(AND(YEAR(ИюнВс1+36)=Год,MONTH(ИюнВс1+36)=6),ИюнВс1+36, "")</f>
        <v/>
      </c>
      <c r="M30" s="19" t="str">
        <f>IF(AND(YEAR(ИюнВс1+37)=Год,MONTH(ИюнВс1+37)=6),ИюнВс1+37, "")</f>
        <v/>
      </c>
      <c r="N30" s="19" t="str">
        <f>IF(AND(YEAR(ИюнВс1+38)=Год,MONTH(ИюнВс1+38)=6),ИюнВс1+38, "")</f>
        <v/>
      </c>
      <c r="O30" s="19" t="str">
        <f>IF(AND(YEAR(ИюнВс1+39)=Год,MONTH(ИюнВс1+39)=6),ИюнВс1+39, "")</f>
        <v/>
      </c>
      <c r="P30" s="19" t="str">
        <f>IF(AND(YEAR(ИюнВс1+40)=Год,MONTH(ИюнВс1+40)=6),ИюнВс1+40, "")</f>
        <v/>
      </c>
      <c r="Q30" s="19" t="str">
        <f>IF(AND(YEAR(ИюнВс1+41)=Год,MONTH(ИюнВс1+41)=6),ИюнВс1+41, "")</f>
        <v/>
      </c>
      <c r="R30" s="2"/>
      <c r="S30" s="19">
        <f>IF(AND(YEAR(СенВс1+35)=Год,MONTH(СенВс1+35)=9),СенВс1+35, "")</f>
        <v>45565</v>
      </c>
      <c r="T30" s="19" t="str">
        <f>IF(AND(YEAR(СенВс1+36)=Год,MONTH(СенВс1+36)=9),СенВс1+36, "")</f>
        <v/>
      </c>
      <c r="U30" s="19" t="str">
        <f>IF(AND(YEAR(СенВс1+37)=Год,MONTH(СенВс1+37)=9),СенВс1+37, "")</f>
        <v/>
      </c>
      <c r="V30" s="19" t="str">
        <f>IF(AND(YEAR(СенВс1+38)=Год,MONTH(СенВс1+38)=9),СенВс1+38, "")</f>
        <v/>
      </c>
      <c r="W30" s="19" t="str">
        <f>IF(AND(YEAR(СенВс1+39)=Год,MONTH(СенВс1+39)=9),СенВс1+39, "")</f>
        <v/>
      </c>
      <c r="X30" s="19" t="str">
        <f>IF(AND(YEAR(СенВс1+40)=Год,MONTH(СенВс1+40)=9),СенВс1+40, "")</f>
        <v/>
      </c>
      <c r="Y30" s="19" t="str">
        <f>IF(AND(YEAR(СенВс1+41)=Год,MONTH(СенВс1+41)=9),СенВс1+41, "")</f>
        <v/>
      </c>
      <c r="Z30" s="2"/>
      <c r="AA30" s="24">
        <f>IF(AND(YEAR(ДекВс1+35)=Год,MONTH(ДекВс1+35)=12),ДекВс1+35, "")</f>
        <v>45656</v>
      </c>
      <c r="AB30" s="24">
        <f>IF(AND(YEAR(ДекВс1+36)=Год,MONTH(ДекВс1+36)=12),ДекВс1+36, "")</f>
        <v>45657</v>
      </c>
      <c r="AC30" s="19" t="str">
        <f>IF(AND(YEAR(ДекВс1+37)=Год,MONTH(ДекВс1+37)=12),ДекВс1+37, "")</f>
        <v/>
      </c>
      <c r="AD30" s="19" t="str">
        <f>IF(AND(YEAR(ДекВс1+38)=Год,MONTH(ДекВс1+38)=12),ДекВс1+38, "")</f>
        <v/>
      </c>
      <c r="AE30" s="19" t="str">
        <f>IF(AND(YEAR(ДекВс1+39)=Год,MONTH(ДекВс1+39)=12),ДекВс1+39, "")</f>
        <v/>
      </c>
      <c r="AF30" s="19" t="str">
        <f>IF(AND(YEAR(ДекВс1+40)=Год,MONTH(ДекВс1+40)=12),ДекВс1+40, "")</f>
        <v/>
      </c>
      <c r="AG30" s="19" t="str">
        <f>IF(AND(YEAR(ДекВс1+41)=Год,MONTH(ДекВс1+41)=12),ДекВс1+41, "")</f>
        <v/>
      </c>
      <c r="AH30" s="9"/>
    </row>
    <row r="31" spans="2:34" ht="13.5" customHeight="1" thickBot="1" x14ac:dyDescent="0.25"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2"/>
    </row>
    <row r="32" spans="2:34" ht="13.5" thickTop="1" x14ac:dyDescent="0.2"/>
  </sheetData>
  <mergeCells count="17">
    <mergeCell ref="C23:I23"/>
    <mergeCell ref="K23:Q23"/>
    <mergeCell ref="S23:Y23"/>
    <mergeCell ref="AA23:AG23"/>
    <mergeCell ref="B2:AH3"/>
    <mergeCell ref="C5:I5"/>
    <mergeCell ref="K5:Q5"/>
    <mergeCell ref="S5:Y5"/>
    <mergeCell ref="AA5:AG5"/>
    <mergeCell ref="C14:I14"/>
    <mergeCell ref="K14:Q14"/>
    <mergeCell ref="S14:Y14"/>
    <mergeCell ref="AA14:AG14"/>
    <mergeCell ref="AM3:AN3"/>
    <mergeCell ref="AM8:AN8"/>
    <mergeCell ref="AJ8:AK8"/>
    <mergeCell ref="AJ3:AK3"/>
  </mergeCells>
  <conditionalFormatting sqref="C5:AG30">
    <cfRule type="containsErrors" dxfId="5" priority="1">
      <formula>ISERROR(C5)</formula>
    </cfRule>
    <cfRule type="containsBlanks" dxfId="4" priority="2">
      <formula>LEN(TRIM(C5))=0</formula>
    </cfRule>
  </conditionalFormatting>
  <dataValidations count="1">
    <dataValidation type="whole" allowBlank="1" showInputMessage="1" showErrorMessage="1" errorTitle="Недопустимый год" error="Введите год от 1900 до 9999 или найдите нужный год с помощью полосы прокрутки." sqref="B2:AH3">
      <formula1>1900</formula1>
      <formula2>9999</formula2>
    </dataValidation>
  </dataValidations>
  <printOptions horizontalCentered="1" verticalCentered="1"/>
  <pageMargins left="0.5" right="0.5" top="0.5" bottom="0.5" header="0.3" footer="0.3"/>
  <pageSetup paperSize="9" orientation="landscape" horizontalDpi="300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ПолосаПрокрутки1">
          <controlPr print="0" autoFill="0" autoLine="0" altText="" linkedCell="B2" r:id="rId5">
            <anchor>
              <from>
                <xdr:col>1</xdr:col>
                <xdr:colOff>19050</xdr:colOff>
                <xdr:row>0</xdr:row>
                <xdr:rowOff>66675</xdr:rowOff>
              </from>
              <to>
                <xdr:col>7</xdr:col>
                <xdr:colOff>85725</xdr:colOff>
                <xdr:row>0</xdr:row>
                <xdr:rowOff>238125</xdr:rowOff>
              </to>
            </anchor>
          </controlPr>
        </control>
      </mc:Choice>
      <mc:Fallback>
        <control shapeId="3073" r:id="rId4" name="ПолосаПрокрутки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1:AN32"/>
  <sheetViews>
    <sheetView showGridLines="0" zoomScale="70" zoomScaleNormal="70" workbookViewId="0">
      <selection activeCell="AM10" sqref="AM10"/>
    </sheetView>
  </sheetViews>
  <sheetFormatPr defaultColWidth="9.140625" defaultRowHeight="12.75" x14ac:dyDescent="0.2"/>
  <cols>
    <col min="1" max="5" width="3.28515625" style="13" customWidth="1"/>
    <col min="6" max="6" width="3.42578125" style="13" customWidth="1"/>
    <col min="7" max="17" width="3" style="13" customWidth="1"/>
    <col min="18" max="18" width="3.140625" style="13" customWidth="1"/>
    <col min="19" max="25" width="3" style="13" customWidth="1"/>
    <col min="26" max="26" width="2.7109375" style="13" customWidth="1"/>
    <col min="27" max="33" width="3" style="13" customWidth="1"/>
    <col min="34" max="34" width="3.28515625" style="13" customWidth="1"/>
    <col min="35" max="35" width="9.85546875" style="13" customWidth="1"/>
    <col min="36" max="36" width="10.85546875" style="13" customWidth="1"/>
    <col min="37" max="37" width="14.85546875" style="13" customWidth="1"/>
    <col min="38" max="38" width="9.140625" style="13"/>
    <col min="39" max="39" width="15" style="13" customWidth="1"/>
    <col min="40" max="40" width="21.5703125" style="13" customWidth="1"/>
    <col min="41" max="16384" width="9.140625" style="13"/>
  </cols>
  <sheetData>
    <row r="1" spans="2:40" ht="24" customHeight="1" x14ac:dyDescent="0.2">
      <c r="I1" s="14" t="s">
        <v>10</v>
      </c>
    </row>
    <row r="2" spans="2:40" x14ac:dyDescent="0.2">
      <c r="B2" s="32">
        <v>2025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2:40" ht="27" customHeight="1" thickBot="1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</row>
    <row r="4" spans="2:40" ht="14.25" customHeight="1" thickTop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  <c r="AJ4" s="30" t="s">
        <v>23</v>
      </c>
      <c r="AK4" s="30"/>
      <c r="AM4" s="30" t="s">
        <v>26</v>
      </c>
      <c r="AN4" s="30"/>
    </row>
    <row r="5" spans="2:40" ht="15" x14ac:dyDescent="0.2">
      <c r="B5" s="8"/>
      <c r="C5" s="31" t="s">
        <v>0</v>
      </c>
      <c r="D5" s="31"/>
      <c r="E5" s="31"/>
      <c r="F5" s="31"/>
      <c r="G5" s="31"/>
      <c r="H5" s="31"/>
      <c r="I5" s="31"/>
      <c r="J5" s="1"/>
      <c r="K5" s="31" t="s">
        <v>11</v>
      </c>
      <c r="L5" s="31"/>
      <c r="M5" s="31"/>
      <c r="N5" s="31"/>
      <c r="O5" s="31"/>
      <c r="P5" s="31"/>
      <c r="Q5" s="31"/>
      <c r="R5" s="1"/>
      <c r="S5" s="31" t="s">
        <v>14</v>
      </c>
      <c r="T5" s="31"/>
      <c r="U5" s="31"/>
      <c r="V5" s="31"/>
      <c r="W5" s="31"/>
      <c r="X5" s="31"/>
      <c r="Y5" s="31"/>
      <c r="Z5" s="1"/>
      <c r="AA5" s="31" t="s">
        <v>17</v>
      </c>
      <c r="AB5" s="31"/>
      <c r="AC5" s="31"/>
      <c r="AD5" s="31"/>
      <c r="AE5" s="31"/>
      <c r="AF5" s="31"/>
      <c r="AG5" s="31"/>
      <c r="AH5" s="9"/>
      <c r="AJ5" s="20" t="s">
        <v>20</v>
      </c>
      <c r="AK5" s="22"/>
      <c r="AM5" s="20" t="s">
        <v>20</v>
      </c>
      <c r="AN5" s="21"/>
    </row>
    <row r="6" spans="2:40" ht="15" x14ac:dyDescent="0.2">
      <c r="B6" s="8"/>
      <c r="C6" s="3" t="s">
        <v>1</v>
      </c>
      <c r="D6" s="3" t="s">
        <v>4</v>
      </c>
      <c r="E6" s="3" t="s">
        <v>6</v>
      </c>
      <c r="F6" s="3" t="s">
        <v>5</v>
      </c>
      <c r="G6" s="3" t="s">
        <v>7</v>
      </c>
      <c r="H6" s="4" t="s">
        <v>8</v>
      </c>
      <c r="I6" s="4" t="s">
        <v>9</v>
      </c>
      <c r="J6" s="1"/>
      <c r="K6" s="3" t="s">
        <v>1</v>
      </c>
      <c r="L6" s="3" t="s">
        <v>4</v>
      </c>
      <c r="M6" s="3" t="s">
        <v>6</v>
      </c>
      <c r="N6" s="3" t="s">
        <v>5</v>
      </c>
      <c r="O6" s="3" t="s">
        <v>7</v>
      </c>
      <c r="P6" s="4" t="s">
        <v>8</v>
      </c>
      <c r="Q6" s="4" t="s">
        <v>9</v>
      </c>
      <c r="R6" s="1"/>
      <c r="S6" s="3" t="s">
        <v>1</v>
      </c>
      <c r="T6" s="3" t="s">
        <v>4</v>
      </c>
      <c r="U6" s="3" t="s">
        <v>6</v>
      </c>
      <c r="V6" s="3" t="s">
        <v>5</v>
      </c>
      <c r="W6" s="3" t="s">
        <v>7</v>
      </c>
      <c r="X6" s="4" t="s">
        <v>8</v>
      </c>
      <c r="Y6" s="4" t="s">
        <v>9</v>
      </c>
      <c r="Z6" s="1"/>
      <c r="AA6" s="3" t="s">
        <v>1</v>
      </c>
      <c r="AB6" s="3" t="s">
        <v>4</v>
      </c>
      <c r="AC6" s="3" t="s">
        <v>6</v>
      </c>
      <c r="AD6" s="3" t="s">
        <v>5</v>
      </c>
      <c r="AE6" s="3" t="s">
        <v>7</v>
      </c>
      <c r="AF6" s="4" t="s">
        <v>8</v>
      </c>
      <c r="AG6" s="4" t="s">
        <v>9</v>
      </c>
      <c r="AH6" s="9"/>
      <c r="AJ6" s="20" t="s">
        <v>21</v>
      </c>
      <c r="AK6" s="22"/>
      <c r="AM6" s="20" t="s">
        <v>25</v>
      </c>
      <c r="AN6" s="21"/>
    </row>
    <row r="7" spans="2:40" ht="15" x14ac:dyDescent="0.2">
      <c r="B7" s="8"/>
      <c r="C7" s="18" t="str">
        <f>IF(AND(YEAR(ЯнвВс1)=Год,MONTH(ЯнвВс1)=1),ЯнвВс1, "")</f>
        <v/>
      </c>
      <c r="D7" s="18" t="str">
        <f>IF(AND(YEAR(ЯнвВс1+1)=Год,MONTH(ЯнвВс1+1)=1),ЯнвВс1+1, "")</f>
        <v/>
      </c>
      <c r="E7" s="25">
        <f>IF(AND(YEAR(ЯнвВс1+2)=Год,MONTH(ЯнвВс1+2)=1),ЯнвВс1+2, "")</f>
        <v>45658</v>
      </c>
      <c r="F7" s="25">
        <f>IF(AND(YEAR(ЯнвВс1+3)=Год,MONTH(ЯнвВс1+3)=1),ЯнвВс1+3, "")</f>
        <v>45659</v>
      </c>
      <c r="G7" s="25">
        <f>IF(AND(YEAR(ЯнвВс1+4)=Год,MONTH(ЯнвВс1+4)=1),ЯнвВс1+4, "")</f>
        <v>45660</v>
      </c>
      <c r="H7" s="25">
        <f>IF(AND(YEAR(ЯнвВс1+5)=Год,MONTH(ЯнвВс1+5)=1),ЯнвВс1+5, "")</f>
        <v>45661</v>
      </c>
      <c r="I7" s="25">
        <f>IF(AND(YEAR(ЯнвВс1+6)=Год,MONTH(ЯнвВс1+6)=1),ЯнвВс1+6, "")</f>
        <v>45662</v>
      </c>
      <c r="J7" s="1"/>
      <c r="K7" s="18" t="str">
        <f>IF(AND(YEAR(АпрВс1)=Год,MONTH(АпрВс1)=4),АпрВс1, "")</f>
        <v/>
      </c>
      <c r="L7" s="18">
        <f>IF(AND(YEAR(АпрВс1+1)=Год,MONTH(АпрВс1+1)=4),АпрВс1+1, "")</f>
        <v>45748</v>
      </c>
      <c r="M7" s="18">
        <f>IF(AND(YEAR(АпрВс1+2)=Год,MONTH(АпрВс1+2)=4),АпрВс1+2, "")</f>
        <v>45749</v>
      </c>
      <c r="N7" s="18">
        <f>IF(AND(YEAR(АпрВс1+3)=Год,MONTH(АпрВс1+3)=4),АпрВс1+3, "")</f>
        <v>45750</v>
      </c>
      <c r="O7" s="18">
        <f>IF(AND(YEAR(АпрВс1+4)=Год,MONTH(АпрВс1+4)=4),АпрВс1+4, "")</f>
        <v>45751</v>
      </c>
      <c r="P7" s="25">
        <f>IF(AND(YEAR(АпрВс1+5)=Год,MONTH(АпрВс1+5)=4),АпрВс1+5, "")</f>
        <v>45752</v>
      </c>
      <c r="Q7" s="25">
        <f>IF(AND(YEAR(АпрВс1+6)=Год,MONTH(АпрВс1+6)=4),АпрВс1+6, "")</f>
        <v>45753</v>
      </c>
      <c r="R7" s="1"/>
      <c r="S7" s="18" t="str">
        <f>IF(AND(YEAR(ИюлВс1)=Год,MONTH(ИюлВс1)=7),ИюлВс1, "")</f>
        <v/>
      </c>
      <c r="T7" s="18">
        <f>IF(AND(YEAR(ИюлВс1+1)=Год,MONTH(ИюлВс1+1)=7),ИюлВс1+1, "")</f>
        <v>45839</v>
      </c>
      <c r="U7" s="18">
        <f>IF(AND(YEAR(ИюлВс1+2)=Год,MONTH(ИюлВс1+2)=7),ИюлВс1+2, "")</f>
        <v>45840</v>
      </c>
      <c r="V7" s="18">
        <f>IF(AND(YEAR(ИюлВс1+3)=Год,MONTH(ИюлВс1+3)=7),ИюлВс1+3, "")</f>
        <v>45841</v>
      </c>
      <c r="W7" s="18">
        <f>IF(AND(YEAR(ИюлВс1+4)=Год,MONTH(ИюлВс1+4)=7),ИюлВс1+4, "")</f>
        <v>45842</v>
      </c>
      <c r="X7" s="25">
        <f>IF(AND(YEAR(ИюлВс1+5)=Год,MONTH(ИюлВс1+5)=7),ИюлВс1+5, "")</f>
        <v>45843</v>
      </c>
      <c r="Y7" s="25">
        <f>IF(AND(YEAR(ИюлВс1+6)=Год,MONTH(ИюлВс1+6)=7),ИюлВс1+6, "")</f>
        <v>45844</v>
      </c>
      <c r="Z7" s="1"/>
      <c r="AA7" s="18" t="str">
        <f>IF(AND(YEAR(ОктВс1)=Год,MONTH(ОктВс1)=10),ОктВс1, "")</f>
        <v/>
      </c>
      <c r="AB7" s="18" t="str">
        <f>IF(AND(YEAR(ОктВс1+1)=Год,MONTH(ОктВс1+1)=10),ОктВс1+1, "")</f>
        <v/>
      </c>
      <c r="AC7" s="18">
        <f>IF(AND(YEAR(ОктВс1+2)=Год,MONTH(ОктВс1+2)=10),ОктВс1+2, "")</f>
        <v>45931</v>
      </c>
      <c r="AD7" s="18">
        <f>IF(AND(YEAR(ОктВс1+3)=Год,MONTH(ОктВс1+3)=10),ОктВс1+3, "")</f>
        <v>45932</v>
      </c>
      <c r="AE7" s="18">
        <f>IF(AND(YEAR(ОктВс1+4)=Год,MONTH(ОктВс1+4)=10),ОктВс1+4, "")</f>
        <v>45933</v>
      </c>
      <c r="AF7" s="25">
        <f>IF(AND(YEAR(ОктВс1+5)=Год,MONTH(ОктВс1+5)=10),ОктВс1+5, "")</f>
        <v>45934</v>
      </c>
      <c r="AG7" s="25">
        <f>IF(AND(YEAR(ОктВс1+6)=Год,MONTH(ОктВс1+6)=10),ОктВс1+6, "")</f>
        <v>45935</v>
      </c>
      <c r="AH7" s="9"/>
      <c r="AJ7" s="20" t="s">
        <v>22</v>
      </c>
      <c r="AK7" s="21"/>
      <c r="AM7" s="20" t="s">
        <v>21</v>
      </c>
      <c r="AN7" s="21"/>
    </row>
    <row r="8" spans="2:40" ht="15" x14ac:dyDescent="0.2">
      <c r="B8" s="8"/>
      <c r="C8" s="24">
        <f>IF(AND(YEAR(ЯнвВс1+7)=Год,MONTH(ЯнвВс1+7)=1),ЯнвВс1+7, "")</f>
        <v>45663</v>
      </c>
      <c r="D8" s="24">
        <f>IF(AND(YEAR(ЯнвВс1+8)=Год,MONTH(ЯнвВс1+8)=1),ЯнвВс1+8, "")</f>
        <v>45664</v>
      </c>
      <c r="E8" s="24">
        <f>IF(AND(YEAR(ЯнвВс1+9)=Год,MONTH(ЯнвВс1+9)=1),ЯнвВс1+9, "")</f>
        <v>45665</v>
      </c>
      <c r="F8" s="19">
        <f>IF(AND(YEAR(ЯнвВс1+10)=Год,MONTH(ЯнвВс1+10)=1),ЯнвВс1+10, "")</f>
        <v>45666</v>
      </c>
      <c r="G8" s="19">
        <f>IF(AND(YEAR(ЯнвВс1+11)=Год,MONTH(ЯнвВс1+11)=1),ЯнвВс1+11, "")</f>
        <v>45667</v>
      </c>
      <c r="H8" s="24">
        <f>IF(AND(YEAR(ЯнвВс1+12)=Год,MONTH(ЯнвВс1+12)=1),ЯнвВс1+12, "")</f>
        <v>45668</v>
      </c>
      <c r="I8" s="24">
        <f>IF(AND(YEAR(ЯнвВс1+13)=Год,MONTH(ЯнвВс1+13)=1),ЯнвВс1+13, "")</f>
        <v>45669</v>
      </c>
      <c r="J8" s="1"/>
      <c r="K8" s="19">
        <f>IF(AND(YEAR(АпрВс1+7)=Год,MONTH(АпрВс1+7)=4),АпрВс1+7, "")</f>
        <v>45754</v>
      </c>
      <c r="L8" s="19">
        <f>IF(AND(YEAR(АпрВс1+8)=Год,MONTH(АпрВс1+8)=4),АпрВс1+8, "")</f>
        <v>45755</v>
      </c>
      <c r="M8" s="19">
        <f>IF(AND(YEAR(АпрВс1+9)=Год,MONTH(АпрВс1+9)=4),АпрВс1+9, "")</f>
        <v>45756</v>
      </c>
      <c r="N8" s="19">
        <f>IF(AND(YEAR(АпрВс1+10)=Год,MONTH(АпрВс1+10)=4),АпрВс1+10, "")</f>
        <v>45757</v>
      </c>
      <c r="O8" s="19">
        <f>IF(AND(YEAR(АпрВс1+11)=Год,MONTH(АпрВс1+11)=4),АпрВс1+11, "")</f>
        <v>45758</v>
      </c>
      <c r="P8" s="24">
        <f>IF(AND(YEAR(АпрВс1+12)=Год,MONTH(АпрВс1+12)=4),АпрВс1+12, "")</f>
        <v>45759</v>
      </c>
      <c r="Q8" s="24">
        <f>IF(AND(YEAR(АпрВс1+13)=Год,MONTH(АпрВс1+13)=4),АпрВс1+13, "")</f>
        <v>45760</v>
      </c>
      <c r="R8" s="1"/>
      <c r="S8" s="19">
        <f>IF(AND(YEAR(ИюлВс1+7)=Год,MONTH(ИюлВс1+7)=7),ИюлВс1+7, "")</f>
        <v>45845</v>
      </c>
      <c r="T8" s="19">
        <f>IF(AND(YEAR(ИюлВс1+8)=Год,MONTH(ИюлВс1+8)=7),ИюлВс1+8, "")</f>
        <v>45846</v>
      </c>
      <c r="U8" s="19">
        <f>IF(AND(YEAR(ИюлВс1+9)=Год,MONTH(ИюлВс1+9)=7),ИюлВс1+9, "")</f>
        <v>45847</v>
      </c>
      <c r="V8" s="19">
        <f>IF(AND(YEAR(ИюлВс1+10)=Год,MONTH(ИюлВс1+10)=7),ИюлВс1+10, "")</f>
        <v>45848</v>
      </c>
      <c r="W8" s="19">
        <f>IF(AND(YEAR(ИюлВс1+11)=Год,MONTH(ИюлВс1+11)=7),ИюлВс1+11, "")</f>
        <v>45849</v>
      </c>
      <c r="X8" s="24">
        <f>IF(AND(YEAR(ИюлВс1+12)=Год,MONTH(ИюлВс1+12)=7),ИюлВс1+12, "")</f>
        <v>45850</v>
      </c>
      <c r="Y8" s="24">
        <f>IF(AND(YEAR(ИюлВс1+13)=Год,MONTH(ИюлВс1+13)=7),ИюлВс1+13, "")</f>
        <v>45851</v>
      </c>
      <c r="Z8" s="1"/>
      <c r="AA8" s="19">
        <f>IF(AND(YEAR(ОктВс1+7)=Год,MONTH(ОктВс1+7)=10),ОктВс1+7, "")</f>
        <v>45936</v>
      </c>
      <c r="AB8" s="19">
        <f>IF(AND(YEAR(ОктВс1+8)=Год,MONTH(ОктВс1+8)=10),ОктВс1+8, "")</f>
        <v>45937</v>
      </c>
      <c r="AC8" s="19">
        <f>IF(AND(YEAR(ОктВс1+9)=Год,MONTH(ОктВс1+9)=10),ОктВс1+9, "")</f>
        <v>45938</v>
      </c>
      <c r="AD8" s="19">
        <f>IF(AND(YEAR(ОктВс1+10)=Год,MONTH(ОктВс1+10)=10),ОктВс1+10, "")</f>
        <v>45939</v>
      </c>
      <c r="AE8" s="19">
        <f>IF(AND(YEAR(ОктВс1+11)=Год,MONTH(ОктВс1+11)=10),ОктВс1+11, "")</f>
        <v>45940</v>
      </c>
      <c r="AF8" s="24">
        <f>IF(AND(YEAR(ОктВс1+12)=Год,MONTH(ОктВс1+12)=10),ОктВс1+12, "")</f>
        <v>45941</v>
      </c>
      <c r="AG8" s="24">
        <f>IF(AND(YEAR(ОктВс1+13)=Год,MONTH(ОктВс1+13)=10),ОктВс1+13, "")</f>
        <v>45942</v>
      </c>
      <c r="AH8" s="9"/>
      <c r="AM8" s="20"/>
      <c r="AN8" s="20"/>
    </row>
    <row r="9" spans="2:40" ht="15" x14ac:dyDescent="0.2">
      <c r="B9" s="8"/>
      <c r="C9" s="19">
        <f>IF(AND(YEAR(ЯнвВс1+14)=Год,MONTH(ЯнвВс1+14)=1),ЯнвВс1+14, "")</f>
        <v>45670</v>
      </c>
      <c r="D9" s="19">
        <f>IF(AND(YEAR(ЯнвВс1+15)=Год,MONTH(ЯнвВс1+15)=1),ЯнвВс1+15, "")</f>
        <v>45671</v>
      </c>
      <c r="E9" s="19">
        <f>IF(AND(YEAR(ЯнвВс1+16)=Год,MONTH(ЯнвВс1+16)=1),ЯнвВс1+16, "")</f>
        <v>45672</v>
      </c>
      <c r="F9" s="19">
        <f>IF(AND(YEAR(ЯнвВс1+17)=Год,MONTH(ЯнвВс1+17)=1),ЯнвВс1+17, "")</f>
        <v>45673</v>
      </c>
      <c r="G9" s="19">
        <f>IF(AND(YEAR(ЯнвВс1+18)=Год,MONTH(ЯнвВс1+18)=1),ЯнвВс1+18, "")</f>
        <v>45674</v>
      </c>
      <c r="H9" s="24">
        <f>IF(AND(YEAR(ЯнвВс1+19)=Год,MONTH(ЯнвВс1+19)=1),ЯнвВс1+19, "")</f>
        <v>45675</v>
      </c>
      <c r="I9" s="24">
        <f>IF(AND(YEAR(ЯнвВс1+20)=Год,MONTH(ЯнвВс1+20)=1),ЯнвВс1+20, "")</f>
        <v>45676</v>
      </c>
      <c r="J9" s="1"/>
      <c r="K9" s="19">
        <f>IF(AND(YEAR(АпрВс1+14)=Год,MONTH(АпрВс1+14)=4),АпрВс1+14, "")</f>
        <v>45761</v>
      </c>
      <c r="L9" s="19">
        <f>IF(AND(YEAR(АпрВс1+15)=Год,MONTH(АпрВс1+15)=4),АпрВс1+15, "")</f>
        <v>45762</v>
      </c>
      <c r="M9" s="19">
        <f>IF(AND(YEAR(АпрВс1+16)=Год,MONTH(АпрВс1+16)=4),АпрВс1+16, "")</f>
        <v>45763</v>
      </c>
      <c r="N9" s="19">
        <f>IF(AND(YEAR(АпрВс1+17)=Год,MONTH(АпрВс1+17)=4),АпрВс1+17, "")</f>
        <v>45764</v>
      </c>
      <c r="O9" s="19">
        <f>IF(AND(YEAR(АпрВс1+18)=Год,MONTH(АпрВс1+18)=4),АпрВс1+18, "")</f>
        <v>45765</v>
      </c>
      <c r="P9" s="24">
        <f>IF(AND(YEAR(АпрВс1+19)=Год,MONTH(АпрВс1+19)=4),АпрВс1+19, "")</f>
        <v>45766</v>
      </c>
      <c r="Q9" s="24">
        <f>IF(AND(YEAR(АпрВс1+20)=Год,MONTH(АпрВс1+20)=4),АпрВс1+20, "")</f>
        <v>45767</v>
      </c>
      <c r="R9" s="1"/>
      <c r="S9" s="19">
        <f>IF(AND(YEAR(ИюлВс1+14)=Год,MONTH(ИюлВс1+14)=7),ИюлВс1+14, "")</f>
        <v>45852</v>
      </c>
      <c r="T9" s="19">
        <f>IF(AND(YEAR(ИюлВс1+15)=Год,MONTH(ИюлВс1+15)=7),ИюлВс1+15, "")</f>
        <v>45853</v>
      </c>
      <c r="U9" s="19">
        <f>IF(AND(YEAR(ИюлВс1+16)=Год,MONTH(ИюлВс1+16)=7),ИюлВс1+16, "")</f>
        <v>45854</v>
      </c>
      <c r="V9" s="19">
        <f>IF(AND(YEAR(ИюлВс1+17)=Год,MONTH(ИюлВс1+17)=7),ИюлВс1+17, "")</f>
        <v>45855</v>
      </c>
      <c r="W9" s="19">
        <f>IF(AND(YEAR(ИюлВс1+18)=Год,MONTH(ИюлВс1+18)=7),ИюлВс1+18, "")</f>
        <v>45856</v>
      </c>
      <c r="X9" s="24">
        <f>IF(AND(YEAR(ИюлВс1+19)=Год,MONTH(ИюлВс1+19)=7),ИюлВс1+19, "")</f>
        <v>45857</v>
      </c>
      <c r="Y9" s="24">
        <f>IF(AND(YEAR(ИюлВс1+20)=Год,MONTH(ИюлВс1+20)=7),ИюлВс1+20, "")</f>
        <v>45858</v>
      </c>
      <c r="Z9" s="1"/>
      <c r="AA9" s="19">
        <f>IF(AND(YEAR(ОктВс1+14)=Год,MONTH(ОктВс1+14)=10),ОктВс1+14, "")</f>
        <v>45943</v>
      </c>
      <c r="AB9" s="19">
        <f>IF(AND(YEAR(ОктВс1+15)=Год,MONTH(ОктВс1+15)=10),ОктВс1+15, "")</f>
        <v>45944</v>
      </c>
      <c r="AC9" s="19">
        <f>IF(AND(YEAR(ОктВс1+16)=Год,MONTH(ОктВс1+16)=10),ОктВс1+16, "")</f>
        <v>45945</v>
      </c>
      <c r="AD9" s="19">
        <f>IF(AND(YEAR(ОктВс1+17)=Год,MONTH(ОктВс1+17)=10),ОктВс1+17, "")</f>
        <v>45946</v>
      </c>
      <c r="AE9" s="19">
        <f>IF(AND(YEAR(ОктВс1+18)=Год,MONTH(ОктВс1+18)=10),ОктВс1+18, "")</f>
        <v>45947</v>
      </c>
      <c r="AF9" s="24">
        <f>IF(AND(YEAR(ОктВс1+19)=Год,MONTH(ОктВс1+19)=10),ОктВс1+19, "")</f>
        <v>45948</v>
      </c>
      <c r="AG9" s="24">
        <f>IF(AND(YEAR(ОктВс1+20)=Год,MONTH(ОктВс1+20)=10),ОктВс1+20, "")</f>
        <v>45949</v>
      </c>
      <c r="AH9" s="9"/>
      <c r="AJ9" s="30" t="s">
        <v>24</v>
      </c>
      <c r="AK9" s="30"/>
      <c r="AM9" s="30" t="s">
        <v>27</v>
      </c>
      <c r="AN9" s="30"/>
    </row>
    <row r="10" spans="2:40" ht="15" x14ac:dyDescent="0.2">
      <c r="B10" s="8"/>
      <c r="C10" s="19">
        <f>IF(AND(YEAR(ЯнвВс1+21)=Год,MONTH(ЯнвВс1+21)=1),ЯнвВс1+21, "")</f>
        <v>45677</v>
      </c>
      <c r="D10" s="19">
        <f>IF(AND(YEAR(ЯнвВс1+22)=Год,MONTH(ЯнвВс1+22)=1),ЯнвВс1+22, "")</f>
        <v>45678</v>
      </c>
      <c r="E10" s="19">
        <f>IF(AND(YEAR(ЯнвВс1+23)=Год,MONTH(ЯнвВс1+23)=1),ЯнвВс1+23, "")</f>
        <v>45679</v>
      </c>
      <c r="F10" s="19">
        <f>IF(AND(YEAR(ЯнвВс1+24)=Год,MONTH(ЯнвВс1+24)=1),ЯнвВс1+24, "")</f>
        <v>45680</v>
      </c>
      <c r="G10" s="19">
        <f>IF(AND(YEAR(ЯнвВс1+25)=Год,MONTH(ЯнвВс1+25)=1),ЯнвВс1+25, "")</f>
        <v>45681</v>
      </c>
      <c r="H10" s="24">
        <f>IF(AND(YEAR(ЯнвВс1+26)=Год,MONTH(ЯнвВс1+26)=1),ЯнвВс1+26, "")</f>
        <v>45682</v>
      </c>
      <c r="I10" s="24">
        <f>IF(AND(YEAR(ЯнвВс1+27)=Год,MONTH(ЯнвВс1+27)=1),ЯнвВс1+27, "")</f>
        <v>45683</v>
      </c>
      <c r="J10" s="1"/>
      <c r="K10" s="19">
        <f>IF(AND(YEAR(АпрВс1+21)=Год,MONTH(АпрВс1+21)=4),АпрВс1+21, "")</f>
        <v>45768</v>
      </c>
      <c r="L10" s="19">
        <f>IF(AND(YEAR(АпрВс1+22)=Год,MONTH(АпрВс1+22)=4),АпрВс1+22, "")</f>
        <v>45769</v>
      </c>
      <c r="M10" s="19">
        <f>IF(AND(YEAR(АпрВс1+23)=Год,MONTH(АпрВс1+23)=4),АпрВс1+23, "")</f>
        <v>45770</v>
      </c>
      <c r="N10" s="19">
        <f>IF(AND(YEAR(АпрВс1+24)=Год,MONTH(АпрВс1+24)=4),АпрВс1+24, "")</f>
        <v>45771</v>
      </c>
      <c r="O10" s="19">
        <f>IF(AND(YEAR(АпрВс1+25)=Год,MONTH(АпрВс1+25)=4),АпрВс1+25, "")</f>
        <v>45772</v>
      </c>
      <c r="P10" s="24">
        <f>IF(AND(YEAR(АпрВс1+26)=Год,MONTH(АпрВс1+26)=4),АпрВс1+26, "")</f>
        <v>45773</v>
      </c>
      <c r="Q10" s="24">
        <f>IF(AND(YEAR(АпрВс1+27)=Год,MONTH(АпрВс1+27)=4),АпрВс1+27, "")</f>
        <v>45774</v>
      </c>
      <c r="R10" s="1"/>
      <c r="S10" s="19">
        <f>IF(AND(YEAR(ИюлВс1+21)=Год,MONTH(ИюлВс1+21)=7),ИюлВс1+21, "")</f>
        <v>45859</v>
      </c>
      <c r="T10" s="19">
        <f>IF(AND(YEAR(ИюлВс1+22)=Год,MONTH(ИюлВс1+22)=7),ИюлВс1+22, "")</f>
        <v>45860</v>
      </c>
      <c r="U10" s="19">
        <f>IF(AND(YEAR(ИюлВс1+23)=Год,MONTH(ИюлВс1+23)=7),ИюлВс1+23, "")</f>
        <v>45861</v>
      </c>
      <c r="V10" s="19">
        <f>IF(AND(YEAR(ИюлВс1+24)=Год,MONTH(ИюлВс1+24)=7),ИюлВс1+24, "")</f>
        <v>45862</v>
      </c>
      <c r="W10" s="19">
        <f>IF(AND(YEAR(ИюлВс1+25)=Год,MONTH(ИюлВс1+25)=7),ИюлВс1+25, "")</f>
        <v>45863</v>
      </c>
      <c r="X10" s="24">
        <f>IF(AND(YEAR(ИюлВс1+26)=Год,MONTH(ИюлВс1+26)=7),ИюлВс1+26, "")</f>
        <v>45864</v>
      </c>
      <c r="Y10" s="24">
        <f>IF(AND(YEAR(ИюлВс1+27)=Год,MONTH(ИюлВс1+27)=7),ИюлВс1+27, "")</f>
        <v>45865</v>
      </c>
      <c r="Z10" s="1"/>
      <c r="AA10" s="19">
        <f>IF(AND(YEAR(ОктВс1+21)=Год,MONTH(ОктВс1+21)=10),ОктВс1+21, "")</f>
        <v>45950</v>
      </c>
      <c r="AB10" s="19">
        <f>IF(AND(YEAR(ОктВс1+22)=Год,MONTH(ОктВс1+22)=10),ОктВс1+22, "")</f>
        <v>45951</v>
      </c>
      <c r="AC10" s="19">
        <f>IF(AND(YEAR(ОктВс1+23)=Год,MONTH(ОктВс1+23)=10),ОктВс1+23, "")</f>
        <v>45952</v>
      </c>
      <c r="AD10" s="19">
        <f>IF(AND(YEAR(ОктВс1+24)=Год,MONTH(ОктВс1+24)=10),ОктВс1+24, "")</f>
        <v>45953</v>
      </c>
      <c r="AE10" s="19">
        <f>IF(AND(YEAR(ОктВс1+25)=Год,MONTH(ОктВс1+25)=10),ОктВс1+25, "")</f>
        <v>45954</v>
      </c>
      <c r="AF10" s="24">
        <f>IF(AND(YEAR(ОктВс1+26)=Год,MONTH(ОктВс1+26)=10),ОктВс1+26, "")</f>
        <v>45955</v>
      </c>
      <c r="AG10" s="24">
        <f>IF(AND(YEAR(ОктВс1+27)=Год,MONTH(ОктВс1+27)=10),ОктВс1+27, "")</f>
        <v>45956</v>
      </c>
      <c r="AH10" s="9"/>
      <c r="AJ10" s="20" t="s">
        <v>20</v>
      </c>
      <c r="AK10" s="22"/>
      <c r="AM10" s="20" t="s">
        <v>20</v>
      </c>
      <c r="AN10" s="21"/>
    </row>
    <row r="11" spans="2:40" ht="15" x14ac:dyDescent="0.2">
      <c r="B11" s="8"/>
      <c r="C11" s="19">
        <f>IF(AND(YEAR(ЯнвВс1+28)=Год,MONTH(ЯнвВс1+28)=1),ЯнвВс1+28, "")</f>
        <v>45684</v>
      </c>
      <c r="D11" s="19">
        <f>IF(AND(YEAR(ЯнвВс1+29)=Год,MONTH(ЯнвВс1+29)=1),ЯнвВс1+29, "")</f>
        <v>45685</v>
      </c>
      <c r="E11" s="19">
        <f>IF(AND(YEAR(ЯнвВс1+30)=Год,MONTH(ЯнвВс1+30)=1),ЯнвВс1+30, "")</f>
        <v>45686</v>
      </c>
      <c r="F11" s="19">
        <f>IF(AND(YEAR(ЯнвВс1+31)=Год,MONTH(ЯнвВс1+31)=1),ЯнвВс1+31, "")</f>
        <v>45687</v>
      </c>
      <c r="G11" s="19">
        <f>IF(AND(YEAR(ЯнвВс1+32)=Год,MONTH(ЯнвВс1+32)=1),ЯнвВс1+32, "")</f>
        <v>45688</v>
      </c>
      <c r="H11" s="19" t="str">
        <f>IF(AND(YEAR(ЯнвВс1+33)=Год,MONTH(ЯнвВс1+33)=1),ЯнвВс1+33, "")</f>
        <v/>
      </c>
      <c r="I11" s="19" t="str">
        <f>IF(AND(YEAR(ЯнвВс1+34)=Год,MONTH(ЯнвВс1+34)=1),ЯнвВс1+34, "")</f>
        <v/>
      </c>
      <c r="J11" s="1"/>
      <c r="K11" s="19">
        <f>IF(AND(YEAR(АпрВс1+28)=Год,MONTH(АпрВс1+28)=4),АпрВс1+28, "")</f>
        <v>45775</v>
      </c>
      <c r="L11" s="24">
        <f>IF(AND(YEAR(АпрВс1+29)=Год,MONTH(АпрВс1+29)=4),АпрВс1+29, "")</f>
        <v>45776</v>
      </c>
      <c r="M11" s="19">
        <f>IF(AND(YEAR(АпрВс1+30)=Год,MONTH(АпрВс1+30)=4),АпрВс1+30, "")</f>
        <v>45777</v>
      </c>
      <c r="N11" s="19" t="str">
        <f>IF(AND(YEAR(АпрВс1+31)=Год,MONTH(АпрВс1+31)=4),АпрВс1+31, "")</f>
        <v/>
      </c>
      <c r="O11" s="19" t="str">
        <f>IF(AND(YEAR(АпрВс1+32)=Год,MONTH(АпрВс1+32)=4),АпрВс1+32, "")</f>
        <v/>
      </c>
      <c r="P11" s="19" t="str">
        <f>IF(AND(YEAR(АпрВс1+33)=Год,MONTH(АпрВс1+33)=4),АпрВс1+33, "")</f>
        <v/>
      </c>
      <c r="Q11" s="19" t="str">
        <f>IF(AND(YEAR(АпрВс1+34)=Год,MONTH(АпрВс1+34)=4),АпрВс1+34, "")</f>
        <v/>
      </c>
      <c r="R11" s="1"/>
      <c r="S11" s="19">
        <f>IF(AND(YEAR(ИюлВс1+28)=Год,MONTH(ИюлВс1+28)=7),ИюлВс1+28, "")</f>
        <v>45866</v>
      </c>
      <c r="T11" s="19">
        <f>IF(AND(YEAR(ИюлВс1+29)=Год,MONTH(ИюлВс1+29)=7),ИюлВс1+29, "")</f>
        <v>45867</v>
      </c>
      <c r="U11" s="19">
        <f>IF(AND(YEAR(ИюлВс1+30)=Год,MONTH(ИюлВс1+30)=7),ИюлВс1+30, "")</f>
        <v>45868</v>
      </c>
      <c r="V11" s="19">
        <f>IF(AND(YEAR(ИюлВс1+31)=Год,MONTH(ИюлВс1+31)=7),ИюлВс1+31, "")</f>
        <v>45869</v>
      </c>
      <c r="W11" s="19" t="str">
        <f>IF(AND(YEAR(ИюлВс1+32)=Год,MONTH(ИюлВс1+32)=7),ИюлВс1+32, "")</f>
        <v/>
      </c>
      <c r="X11" s="19" t="str">
        <f>IF(AND(YEAR(ИюлВс1+33)=Год,MONTH(ИюлВс1+33)=7),ИюлВс1+33, "")</f>
        <v/>
      </c>
      <c r="Y11" s="19" t="str">
        <f>IF(AND(YEAR(ИюлВс1+34)=Год,MONTH(ИюлВс1+34)=7),ИюлВс1+34, "")</f>
        <v/>
      </c>
      <c r="Z11" s="1"/>
      <c r="AA11" s="19">
        <f>IF(AND(YEAR(ОктВс1+28)=Год,MONTH(ОктВс1+28)=10),ОктВс1+28, "")</f>
        <v>45957</v>
      </c>
      <c r="AB11" s="19">
        <f>IF(AND(YEAR(ОктВс1+29)=Год,MONTH(ОктВс1+29)=10),ОктВс1+29, "")</f>
        <v>45958</v>
      </c>
      <c r="AC11" s="19">
        <f>IF(AND(YEAR(ОктВс1+30)=Год,MONTH(ОктВс1+30)=10),ОктВс1+30, "")</f>
        <v>45959</v>
      </c>
      <c r="AD11" s="19">
        <f>IF(AND(YEAR(ОктВс1+31)=Год,MONTH(ОктВс1+31)=10),ОктВс1+31, "")</f>
        <v>45960</v>
      </c>
      <c r="AE11" s="19">
        <f>IF(AND(YEAR(ОктВс1+32)=Год,MONTH(ОктВс1+32)=10),ОктВс1+32, "")</f>
        <v>45961</v>
      </c>
      <c r="AF11" s="19" t="str">
        <f>IF(AND(YEAR(ОктВс1+33)=Год,MONTH(ОктВс1+33)=10),ОктВс1+33, "")</f>
        <v/>
      </c>
      <c r="AG11" s="19" t="str">
        <f>IF(AND(YEAR(ОктВс1+34)=Год,MONTH(ОктВс1+34)=10),ОктВс1+34, "")</f>
        <v/>
      </c>
      <c r="AH11" s="9"/>
      <c r="AJ11" s="20" t="s">
        <v>21</v>
      </c>
      <c r="AK11" s="22"/>
      <c r="AM11" s="20" t="s">
        <v>25</v>
      </c>
      <c r="AN11" s="21"/>
    </row>
    <row r="12" spans="2:40" ht="15" x14ac:dyDescent="0.2">
      <c r="B12" s="15"/>
      <c r="C12" s="19" t="str">
        <f>IF(AND(YEAR(ЯнвВс1+35)=Год,MONTH(ЯнвВс1+35)=1),ЯнвВс1+35, "")</f>
        <v/>
      </c>
      <c r="D12" s="19" t="str">
        <f>IF(AND(YEAR(ЯнвВс1+36)=Год,MONTH(ЯнвВс1+36)=1),ЯнвВс1+36, "")</f>
        <v/>
      </c>
      <c r="E12" s="19" t="str">
        <f>IF(AND(YEAR(ЯнвВс1+37)=Год,MONTH(ЯнвВс1+37)=1),ЯнвВс1+37, "")</f>
        <v/>
      </c>
      <c r="F12" s="19" t="str">
        <f>IF(AND(YEAR(ЯнвВс1+38)=Год,MONTH(ЯнвВс1+38)=1),ЯнвВс1+38, "")</f>
        <v/>
      </c>
      <c r="G12" s="19" t="str">
        <f>IF(AND(YEAR(ЯнвВс1+39)=Год,MONTH(ЯнвВс1+39)=1),ЯнвВс1+39, "")</f>
        <v/>
      </c>
      <c r="H12" s="19" t="str">
        <f>IF(AND(YEAR(ЯнвВс1+40)=Год,MONTH(ЯнвВс1+40)=1),ЯнвВс1+40, "")</f>
        <v/>
      </c>
      <c r="I12" s="19" t="str">
        <f>IF(AND(YEAR(ЯнвВс1+41)=Год,MONTH(ЯнвВс1+41)=1),ЯнвВс1+41, "")</f>
        <v/>
      </c>
      <c r="J12" s="16"/>
      <c r="K12" s="19" t="str">
        <f>IF(AND(YEAR(АпрВс1+35)=Год,MONTH(АпрВс1+35)=4),АпрВс1+35, "")</f>
        <v/>
      </c>
      <c r="L12" s="19" t="str">
        <f>IF(AND(YEAR(АпрВс1+36)=Год,MONTH(АпрВс1+36)=4),АпрВс1+36, "")</f>
        <v/>
      </c>
      <c r="M12" s="19" t="str">
        <f>IF(AND(YEAR(АпрВс1+37)=Год,MONTH(АпрВс1+37)=4),АпрВс1+37, "")</f>
        <v/>
      </c>
      <c r="N12" s="19" t="str">
        <f>IF(AND(YEAR(АпрВс1+38)=Год,MONTH(АпрВс1+38)=4),АпрВс1+38, "")</f>
        <v/>
      </c>
      <c r="O12" s="19" t="str">
        <f>IF(AND(YEAR(АпрВс1+39)=Год,MONTH(АпрВс1+39)=4),АпрВс1+39, "")</f>
        <v/>
      </c>
      <c r="P12" s="19" t="str">
        <f>IF(AND(YEAR(АпрВс1+40)=Год,MONTH(АпрВс1+40)=4),АпрВс1+40, "")</f>
        <v/>
      </c>
      <c r="Q12" s="19" t="str">
        <f>IF(AND(YEAR(АпрВс1+41)=Год,MONTH(АпрВс1+41)=4),АпрВс1+41, "")</f>
        <v/>
      </c>
      <c r="R12" s="16"/>
      <c r="S12" s="19" t="str">
        <f>IF(AND(YEAR(ИюлВс1+35)=Год,MONTH(ИюлВс1+35)=7),ИюлВс1+35, "")</f>
        <v/>
      </c>
      <c r="T12" s="19" t="str">
        <f>IF(AND(YEAR(ИюлВс1+36)=Год,MONTH(ИюлВс1+36)=7),ИюлВс1+36, "")</f>
        <v/>
      </c>
      <c r="U12" s="19" t="str">
        <f>IF(AND(YEAR(ИюлВс1+37)=Год,MONTH(ИюлВс1+37)=7),ИюлВс1+37, "")</f>
        <v/>
      </c>
      <c r="V12" s="19" t="str">
        <f>IF(AND(YEAR(ИюлВс1+38)=Год,MONTH(ИюлВс1+38)=7),ИюлВс1+38, "")</f>
        <v/>
      </c>
      <c r="W12" s="19" t="str">
        <f>IF(AND(YEAR(ИюлВс1+39)=Год,MONTH(ИюлВс1+39)=7),ИюлВс1+39, "")</f>
        <v/>
      </c>
      <c r="X12" s="19" t="str">
        <f>IF(AND(YEAR(ИюлВс1+40)=Год,MONTH(ИюлВс1+40)=7),ИюлВс1+40, "")</f>
        <v/>
      </c>
      <c r="Y12" s="19" t="str">
        <f>IF(AND(YEAR(ИюлВс1+41)=Год,MONTH(ИюлВс1+41)=7),ИюлВс1+41, "")</f>
        <v/>
      </c>
      <c r="Z12" s="16"/>
      <c r="AA12" s="19" t="str">
        <f>IF(AND(YEAR(ОктВс1+35)=Год,MONTH(ОктВс1+35)=10),ОктВс1+35, "")</f>
        <v/>
      </c>
      <c r="AB12" s="19" t="str">
        <f>IF(AND(YEAR(ОктВс1+36)=Год,MONTH(ОктВс1+36)=10),ОктВс1+36, "")</f>
        <v/>
      </c>
      <c r="AC12" s="19" t="str">
        <f>IF(AND(YEAR(ОктВс1+37)=Год,MONTH(ОктВс1+37)=10),ОктВс1+37, "")</f>
        <v/>
      </c>
      <c r="AD12" s="19" t="str">
        <f>IF(AND(YEAR(ОктВс1+38)=Год,MONTH(ОктВс1+38)=10),ОктВс1+38, "")</f>
        <v/>
      </c>
      <c r="AE12" s="19" t="str">
        <f>IF(AND(YEAR(ОктВс1+39)=Год,MONTH(ОктВс1+39)=10),ОктВс1+39, "")</f>
        <v/>
      </c>
      <c r="AF12" s="19" t="str">
        <f>IF(AND(YEAR(ОктВс1+40)=Год,MONTH(ОктВс1+40)=10),ОктВс1+40, "")</f>
        <v/>
      </c>
      <c r="AG12" s="19" t="str">
        <f>IF(AND(YEAR(ОктВс1+41)=Год,MONTH(ОктВс1+41)=10),ОктВс1+41, "")</f>
        <v/>
      </c>
      <c r="AH12" s="17"/>
      <c r="AJ12" s="20" t="s">
        <v>22</v>
      </c>
      <c r="AK12" s="21"/>
      <c r="AM12" s="20" t="s">
        <v>21</v>
      </c>
      <c r="AN12" s="21"/>
    </row>
    <row r="13" spans="2:40" ht="3.75" customHeight="1" x14ac:dyDescent="0.2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</row>
    <row r="14" spans="2:40" x14ac:dyDescent="0.2">
      <c r="B14" s="8"/>
      <c r="C14" s="31" t="s">
        <v>2</v>
      </c>
      <c r="D14" s="31"/>
      <c r="E14" s="31"/>
      <c r="F14" s="31"/>
      <c r="G14" s="31"/>
      <c r="H14" s="31"/>
      <c r="I14" s="31"/>
      <c r="J14" s="1"/>
      <c r="K14" s="31" t="s">
        <v>12</v>
      </c>
      <c r="L14" s="31"/>
      <c r="M14" s="31"/>
      <c r="N14" s="31"/>
      <c r="O14" s="31"/>
      <c r="P14" s="31"/>
      <c r="Q14" s="31"/>
      <c r="R14" s="1"/>
      <c r="S14" s="31" t="s">
        <v>15</v>
      </c>
      <c r="T14" s="31"/>
      <c r="U14" s="31"/>
      <c r="V14" s="31"/>
      <c r="W14" s="31"/>
      <c r="X14" s="31"/>
      <c r="Y14" s="31"/>
      <c r="Z14" s="1"/>
      <c r="AA14" s="31" t="s">
        <v>18</v>
      </c>
      <c r="AB14" s="31"/>
      <c r="AC14" s="31"/>
      <c r="AD14" s="31"/>
      <c r="AE14" s="31"/>
      <c r="AF14" s="31"/>
      <c r="AG14" s="31"/>
      <c r="AH14" s="9"/>
    </row>
    <row r="15" spans="2:40" x14ac:dyDescent="0.2">
      <c r="B15" s="8"/>
      <c r="C15" s="3" t="s">
        <v>1</v>
      </c>
      <c r="D15" s="3" t="s">
        <v>4</v>
      </c>
      <c r="E15" s="3" t="s">
        <v>6</v>
      </c>
      <c r="F15" s="3" t="s">
        <v>5</v>
      </c>
      <c r="G15" s="3" t="s">
        <v>7</v>
      </c>
      <c r="H15" s="4" t="s">
        <v>8</v>
      </c>
      <c r="I15" s="4" t="s">
        <v>9</v>
      </c>
      <c r="J15" s="1"/>
      <c r="K15" s="3" t="s">
        <v>1</v>
      </c>
      <c r="L15" s="3" t="s">
        <v>4</v>
      </c>
      <c r="M15" s="3" t="s">
        <v>6</v>
      </c>
      <c r="N15" s="3" t="s">
        <v>5</v>
      </c>
      <c r="O15" s="3" t="s">
        <v>7</v>
      </c>
      <c r="P15" s="4" t="s">
        <v>8</v>
      </c>
      <c r="Q15" s="4" t="s">
        <v>9</v>
      </c>
      <c r="R15" s="1"/>
      <c r="S15" s="3" t="s">
        <v>1</v>
      </c>
      <c r="T15" s="3" t="s">
        <v>4</v>
      </c>
      <c r="U15" s="3" t="s">
        <v>6</v>
      </c>
      <c r="V15" s="3" t="s">
        <v>5</v>
      </c>
      <c r="W15" s="3" t="s">
        <v>7</v>
      </c>
      <c r="X15" s="4" t="s">
        <v>8</v>
      </c>
      <c r="Y15" s="4" t="s">
        <v>9</v>
      </c>
      <c r="Z15" s="1"/>
      <c r="AA15" s="3" t="s">
        <v>1</v>
      </c>
      <c r="AB15" s="3" t="s">
        <v>4</v>
      </c>
      <c r="AC15" s="3" t="s">
        <v>6</v>
      </c>
      <c r="AD15" s="3" t="s">
        <v>5</v>
      </c>
      <c r="AE15" s="3" t="s">
        <v>7</v>
      </c>
      <c r="AF15" s="4" t="s">
        <v>8</v>
      </c>
      <c r="AG15" s="4" t="s">
        <v>9</v>
      </c>
      <c r="AH15" s="9"/>
    </row>
    <row r="16" spans="2:40" x14ac:dyDescent="0.2">
      <c r="B16" s="8"/>
      <c r="C16" s="18" t="str">
        <f>IF(AND(YEAR(ФевВс1)=Год,MONTH(ФевВс1)=2),ФевВс1, "")</f>
        <v/>
      </c>
      <c r="D16" s="18" t="str">
        <f>IF(AND(YEAR(ФевВс1+1)=Год,MONTH(ФевВс1+1)=2),ФевВс1+1, "")</f>
        <v/>
      </c>
      <c r="E16" s="18" t="str">
        <f>IF(AND(YEAR(ФевВс1+2)=Год,MONTH(ФевВс1+2)=2),ФевВс1+2, "")</f>
        <v/>
      </c>
      <c r="F16" s="18" t="str">
        <f>IF(AND(YEAR(ФевВс1+3)=Год,MONTH(ФевВс1+3)=2),ФевВс1+3, "")</f>
        <v/>
      </c>
      <c r="G16" s="18" t="str">
        <f>IF(AND(YEAR(ФевВс1+4)=Год,MONTH(ФевВс1+4)=2),ФевВс1+4, "")</f>
        <v/>
      </c>
      <c r="H16" s="25">
        <f>IF(AND(YEAR(ФевВс1+5)=Год,MONTH(ФевВс1+5)=2),ФевВс1+5, "")</f>
        <v>45689</v>
      </c>
      <c r="I16" s="25">
        <f>IF(AND(YEAR(ФевВс1+6)=Год,MONTH(ФевВс1+6)=2),ФевВс1+6, "")</f>
        <v>45690</v>
      </c>
      <c r="J16" s="1"/>
      <c r="K16" s="18" t="str">
        <f>IF(AND(YEAR(МайВс1)=Год,MONTH(МайВс1)=5),МайВс1, "")</f>
        <v/>
      </c>
      <c r="L16" s="18" t="str">
        <f>IF(AND(YEAR(МайВс1+1)=Год,MONTH(МайВс1+1)=5),МайВс1+1, "")</f>
        <v/>
      </c>
      <c r="M16" s="18" t="str">
        <f>IF(AND(YEAR(МайВс1+2)=Год,MONTH(МайВс1+2)=5),МайВс1+2, "")</f>
        <v/>
      </c>
      <c r="N16" s="25">
        <f>IF(AND(YEAR(МайВс1+3)=Год,MONTH(МайВс1+3)=5),МайВс1+3, "")</f>
        <v>45778</v>
      </c>
      <c r="O16" s="25">
        <f>IF(AND(YEAR(МайВс1+4)=Год,MONTH(МайВс1+4)=5),МайВс1+4, "")</f>
        <v>45779</v>
      </c>
      <c r="P16" s="25">
        <f>IF(AND(YEAR(МайВс1+5)=Год,MONTH(МайВс1+5)=5),МайВс1+5, "")</f>
        <v>45780</v>
      </c>
      <c r="Q16" s="25">
        <f>IF(AND(YEAR(МайВс1+6)=Год,MONTH(МайВс1+6)=5),МайВс1+6, "")</f>
        <v>45781</v>
      </c>
      <c r="R16" s="1"/>
      <c r="S16" s="18" t="str">
        <f>IF(AND(YEAR(АвгВс1)=Год,MONTH(АвгВс1)=8),АвгВс1, "")</f>
        <v/>
      </c>
      <c r="T16" s="18" t="str">
        <f>IF(AND(YEAR(АвгВс1+1)=Год,MONTH(АвгВс1+1)=8),АвгВс1+1, "")</f>
        <v/>
      </c>
      <c r="U16" s="18" t="str">
        <f>IF(AND(YEAR(АвгВс1+2)=Год,MONTH(АвгВс1+2)=8),АвгВс1+2, "")</f>
        <v/>
      </c>
      <c r="V16" s="18" t="str">
        <f>IF(AND(YEAR(АвгВс1+3)=Год,MONTH(АвгВс1+3)=8),АвгВс1+3, "")</f>
        <v/>
      </c>
      <c r="W16" s="18">
        <f>IF(AND(YEAR(АвгВс1+4)=Год,MONTH(АвгВс1+4)=8),АвгВс1+4, "")</f>
        <v>45870</v>
      </c>
      <c r="X16" s="25">
        <f>IF(AND(YEAR(АвгВс1+5)=Год,MONTH(АвгВс1+5)=8),АвгВс1+5, "")</f>
        <v>45871</v>
      </c>
      <c r="Y16" s="25">
        <f>IF(AND(YEAR(АвгВс1+6)=Год,MONTH(АвгВс1+6)=8),АвгВс1+6, "")</f>
        <v>45872</v>
      </c>
      <c r="Z16" s="1"/>
      <c r="AA16" s="18" t="str">
        <f>IF(AND(YEAR(НояВс1)=Год,MONTH(НояВс1)=11),НояВс1, "")</f>
        <v/>
      </c>
      <c r="AB16" s="18" t="str">
        <f>IF(AND(YEAR(НояВс1+1)=Год,MONTH(НояВс1+1)=11),НояВс1+1, "")</f>
        <v/>
      </c>
      <c r="AC16" s="18" t="str">
        <f>IF(AND(YEAR(НояВс1+2)=Год,MONTH(НояВс1+2)=11),НояВс1+2, "")</f>
        <v/>
      </c>
      <c r="AD16" s="18" t="str">
        <f>IF(AND(YEAR(НояВс1+3)=Год,MONTH(НояВс1+3)=11),НояВс1+3, "")</f>
        <v/>
      </c>
      <c r="AE16" s="18" t="str">
        <f>IF(AND(YEAR(НояВс1+4)=Год,MONTH(НояВс1+4)=11),НояВс1+4, "")</f>
        <v/>
      </c>
      <c r="AF16" s="18">
        <f>IF(AND(YEAR(НояВс1+5)=Год,MONTH(НояВс1+5)=11),НояВс1+5, "")</f>
        <v>45962</v>
      </c>
      <c r="AG16" s="25">
        <f>IF(AND(YEAR(НояВс1+6)=Год,MONTH(НояВс1+6)=11),НояВс1+6, "")</f>
        <v>45963</v>
      </c>
      <c r="AH16" s="9"/>
    </row>
    <row r="17" spans="2:34" x14ac:dyDescent="0.2">
      <c r="B17" s="8"/>
      <c r="C17" s="19">
        <f>IF(AND(YEAR(ФевВс1+7)=Год,MONTH(ФевВс1+7)=2),ФевВс1+7, "")</f>
        <v>45691</v>
      </c>
      <c r="D17" s="19">
        <f>IF(AND(YEAR(ФевВс1+8)=Год,MONTH(ФевВс1+8)=2),ФевВс1+8, "")</f>
        <v>45692</v>
      </c>
      <c r="E17" s="19">
        <f>IF(AND(YEAR(ФевВс1+9)=Год,MONTH(ФевВс1+9)=2),ФевВс1+9, "")</f>
        <v>45693</v>
      </c>
      <c r="F17" s="19">
        <f>IF(AND(YEAR(ФевВс1+10)=Год,MONTH(ФевВс1+10)=2),ФевВс1+10, "")</f>
        <v>45694</v>
      </c>
      <c r="G17" s="19">
        <f>IF(AND(YEAR(ФевВс1+11)=Год,MONTH(ФевВс1+11)=2),ФевВс1+11, "")</f>
        <v>45695</v>
      </c>
      <c r="H17" s="24">
        <f>IF(AND(YEAR(ФевВс1+12)=Год,MONTH(ФевВс1+12)=2),ФевВс1+12, "")</f>
        <v>45696</v>
      </c>
      <c r="I17" s="24">
        <f>IF(AND(YEAR(ФевВс1+13)=Год,MONTH(ФевВс1+13)=2),ФевВс1+13, "")</f>
        <v>45697</v>
      </c>
      <c r="J17" s="1"/>
      <c r="K17" s="19">
        <f>IF(AND(YEAR(МайВс1+7)=Год,MONTH(МайВс1+7)=5),МайВс1+7, "")</f>
        <v>45782</v>
      </c>
      <c r="L17" s="19">
        <f>IF(AND(YEAR(МайВс1+8)=Год,MONTH(МайВс1+8)=5),МайВс1+8, "")</f>
        <v>45783</v>
      </c>
      <c r="M17" s="19">
        <f>IF(AND(YEAR(МайВс1+9)=Год,MONTH(МайВс1+9)=5),МайВс1+9, "")</f>
        <v>45784</v>
      </c>
      <c r="N17" s="24">
        <f>IF(AND(YEAR(МайВс1+10)=Год,MONTH(МайВс1+10)=5),МайВс1+10, "")</f>
        <v>45785</v>
      </c>
      <c r="O17" s="24">
        <f>IF(AND(YEAR(МайВс1+11)=Год,MONTH(МайВс1+11)=5),МайВс1+11, "")</f>
        <v>45786</v>
      </c>
      <c r="P17" s="24">
        <f>IF(AND(YEAR(МайВс1+12)=Год,MONTH(МайВс1+12)=5),МайВс1+12, "")</f>
        <v>45787</v>
      </c>
      <c r="Q17" s="24">
        <f>IF(AND(YEAR(МайВс1+13)=Год,MONTH(МайВс1+13)=5),МайВс1+13, "")</f>
        <v>45788</v>
      </c>
      <c r="R17" s="1"/>
      <c r="S17" s="19">
        <f>IF(AND(YEAR(АвгВс1+7)=Год,MONTH(АвгВс1+7)=8),АвгВс1+7, "")</f>
        <v>45873</v>
      </c>
      <c r="T17" s="19">
        <f>IF(AND(YEAR(АвгВс1+8)=Год,MONTH(АвгВс1+8)=8),АвгВс1+8, "")</f>
        <v>45874</v>
      </c>
      <c r="U17" s="19">
        <f>IF(AND(YEAR(АвгВс1+9)=Год,MONTH(АвгВс1+9)=8),АвгВс1+9, "")</f>
        <v>45875</v>
      </c>
      <c r="V17" s="19">
        <f>IF(AND(YEAR(АвгВс1+10)=Год,MONTH(АвгВс1+10)=8),АвгВс1+10, "")</f>
        <v>45876</v>
      </c>
      <c r="W17" s="19">
        <f>IF(AND(YEAR(АвгВс1+11)=Год,MONTH(АвгВс1+11)=8),АвгВс1+11, "")</f>
        <v>45877</v>
      </c>
      <c r="X17" s="24">
        <f>IF(AND(YEAR(АвгВс1+12)=Год,MONTH(АвгВс1+12)=8),АвгВс1+12, "")</f>
        <v>45878</v>
      </c>
      <c r="Y17" s="24">
        <f>IF(AND(YEAR(АвгВс1+13)=Год,MONTH(АвгВс1+13)=8),АвгВс1+13, "")</f>
        <v>45879</v>
      </c>
      <c r="Z17" s="1"/>
      <c r="AA17" s="24">
        <f>IF(AND(YEAR(НояВс1+7)=Год,MONTH(НояВс1+7)=11),НояВс1+7, "")</f>
        <v>45964</v>
      </c>
      <c r="AB17" s="24">
        <f>IF(AND(YEAR(НояВс1+8)=Год,MONTH(НояВс1+8)=11),НояВс1+8, "")</f>
        <v>45965</v>
      </c>
      <c r="AC17" s="19">
        <f>IF(AND(YEAR(НояВс1+9)=Год,MONTH(НояВс1+9)=11),НояВс1+9, "")</f>
        <v>45966</v>
      </c>
      <c r="AD17" s="19">
        <f>IF(AND(YEAR(НояВс1+10)=Год,MONTH(НояВс1+10)=11),НояВс1+10, "")</f>
        <v>45967</v>
      </c>
      <c r="AE17" s="19">
        <f>IF(AND(YEAR(НояВс1+11)=Год,MONTH(НояВс1+11)=11),НояВс1+11, "")</f>
        <v>45968</v>
      </c>
      <c r="AF17" s="24">
        <f>IF(AND(YEAR(НояВс1+12)=Год,MONTH(НояВс1+12)=11),НояВс1+12, "")</f>
        <v>45969</v>
      </c>
      <c r="AG17" s="24">
        <f>IF(AND(YEAR(НояВс1+13)=Год,MONTH(НояВс1+13)=11),НояВс1+13, "")</f>
        <v>45970</v>
      </c>
      <c r="AH17" s="9"/>
    </row>
    <row r="18" spans="2:34" x14ac:dyDescent="0.2">
      <c r="B18" s="8"/>
      <c r="C18" s="19">
        <f>IF(AND(YEAR(ФевВс1+14)=Год,MONTH(ФевВс1+14)=2),ФевВс1+14, "")</f>
        <v>45698</v>
      </c>
      <c r="D18" s="19">
        <f>IF(AND(YEAR(ФевВс1+15)=Год,MONTH(ФевВс1+15)=2),ФевВс1+15, "")</f>
        <v>45699</v>
      </c>
      <c r="E18" s="19">
        <f>IF(AND(YEAR(ФевВс1+16)=Год,MONTH(ФевВс1+16)=2),ФевВс1+16, "")</f>
        <v>45700</v>
      </c>
      <c r="F18" s="19">
        <f>IF(AND(YEAR(ФевВс1+17)=Год,MONTH(ФевВс1+17)=2),ФевВс1+17, "")</f>
        <v>45701</v>
      </c>
      <c r="G18" s="19">
        <f>IF(AND(YEAR(ФевВс1+18)=Год,MONTH(ФевВс1+18)=2),ФевВс1+18, "")</f>
        <v>45702</v>
      </c>
      <c r="H18" s="24">
        <f>IF(AND(YEAR(ФевВс1+19)=Год,MONTH(ФевВс1+19)=2),ФевВс1+19, "")</f>
        <v>45703</v>
      </c>
      <c r="I18" s="24">
        <f>IF(AND(YEAR(ФевВс1+20)=Год,MONTH(ФевВс1+20)=2),ФевВс1+20, "")</f>
        <v>45704</v>
      </c>
      <c r="J18" s="1"/>
      <c r="K18" s="19">
        <f>IF(AND(YEAR(МайВс1+14)=Год,MONTH(МайВс1+14)=5),МайВс1+14, "")</f>
        <v>45789</v>
      </c>
      <c r="L18" s="19">
        <f>IF(AND(YEAR(МайВс1+15)=Год,MONTH(МайВс1+15)=5),МайВс1+15, "")</f>
        <v>45790</v>
      </c>
      <c r="M18" s="19">
        <f>IF(AND(YEAR(МайВс1+16)=Год,MONTH(МайВс1+16)=5),МайВс1+16, "")</f>
        <v>45791</v>
      </c>
      <c r="N18" s="19">
        <f>IF(AND(YEAR(МайВс1+17)=Год,MONTH(МайВс1+17)=5),МайВс1+17, "")</f>
        <v>45792</v>
      </c>
      <c r="O18" s="19">
        <f>IF(AND(YEAR(МайВс1+18)=Год,MONTH(МайВс1+18)=5),МайВс1+18, "")</f>
        <v>45793</v>
      </c>
      <c r="P18" s="24">
        <f>IF(AND(YEAR(МайВс1+19)=Год,MONTH(МайВс1+19)=5),МайВс1+19, "")</f>
        <v>45794</v>
      </c>
      <c r="Q18" s="24">
        <f>IF(AND(YEAR(МайВс1+20)=Год,MONTH(МайВс1+20)=5),МайВс1+20, "")</f>
        <v>45795</v>
      </c>
      <c r="R18" s="1"/>
      <c r="S18" s="19">
        <f>IF(AND(YEAR(АвгВс1+14)=Год,MONTH(АвгВс1+14)=8),АвгВс1+14, "")</f>
        <v>45880</v>
      </c>
      <c r="T18" s="19">
        <f>IF(AND(YEAR(АвгВс1+15)=Год,MONTH(АвгВс1+15)=8),АвгВс1+15, "")</f>
        <v>45881</v>
      </c>
      <c r="U18" s="19">
        <f>IF(AND(YEAR(АвгВс1+16)=Год,MONTH(АвгВс1+16)=8),АвгВс1+16, "")</f>
        <v>45882</v>
      </c>
      <c r="V18" s="19">
        <f>IF(AND(YEAR(АвгВс1+17)=Год,MONTH(АвгВс1+17)=8),АвгВс1+17, "")</f>
        <v>45883</v>
      </c>
      <c r="W18" s="19">
        <f>IF(AND(YEAR(АвгВс1+18)=Год,MONTH(АвгВс1+18)=8),АвгВс1+18, "")</f>
        <v>45884</v>
      </c>
      <c r="X18" s="24">
        <f>IF(AND(YEAR(АвгВс1+19)=Год,MONTH(АвгВс1+19)=8),АвгВс1+19, "")</f>
        <v>45885</v>
      </c>
      <c r="Y18" s="24">
        <f>IF(AND(YEAR(АвгВс1+20)=Год,MONTH(АвгВс1+20)=8),АвгВс1+20, "")</f>
        <v>45886</v>
      </c>
      <c r="Z18" s="1"/>
      <c r="AA18" s="19">
        <f>IF(AND(YEAR(НояВс1+14)=Год,MONTH(НояВс1+14)=11),НояВс1+14, "")</f>
        <v>45971</v>
      </c>
      <c r="AB18" s="19">
        <f>IF(AND(YEAR(НояВс1+15)=Год,MONTH(НояВс1+15)=11),НояВс1+15, "")</f>
        <v>45972</v>
      </c>
      <c r="AC18" s="19">
        <f>IF(AND(YEAR(НояВс1+16)=Год,MONTH(НояВс1+16)=11),НояВс1+16, "")</f>
        <v>45973</v>
      </c>
      <c r="AD18" s="19">
        <f>IF(AND(YEAR(НояВс1+17)=Год,MONTH(НояВс1+17)=11),НояВс1+17, "")</f>
        <v>45974</v>
      </c>
      <c r="AE18" s="19">
        <f>IF(AND(YEAR(НояВс1+18)=Год,MONTH(НояВс1+18)=11),НояВс1+18, "")</f>
        <v>45975</v>
      </c>
      <c r="AF18" s="24">
        <f>IF(AND(YEAR(НояВс1+19)=Год,MONTH(НояВс1+19)=11),НояВс1+19, "")</f>
        <v>45976</v>
      </c>
      <c r="AG18" s="24">
        <f>IF(AND(YEAR(НояВс1+20)=Год,MONTH(НояВс1+20)=11),НояВс1+20, "")</f>
        <v>45977</v>
      </c>
      <c r="AH18" s="9"/>
    </row>
    <row r="19" spans="2:34" x14ac:dyDescent="0.2">
      <c r="B19" s="8"/>
      <c r="C19" s="19">
        <f>IF(AND(YEAR(ФевВс1+21)=Год,MONTH(ФевВс1+21)=2),ФевВс1+21, "")</f>
        <v>45705</v>
      </c>
      <c r="D19" s="19">
        <f>IF(AND(YEAR(ФевВс1+22)=Год,MONTH(ФевВс1+22)=2),ФевВс1+22, "")</f>
        <v>45706</v>
      </c>
      <c r="E19" s="19">
        <f>IF(AND(YEAR(ФевВс1+23)=Год,MONTH(ФевВс1+23)=2),ФевВс1+23, "")</f>
        <v>45707</v>
      </c>
      <c r="F19" s="19">
        <f>IF(AND(YEAR(ФевВс1+24)=Год,MONTH(ФевВс1+24)=2),ФевВс1+24, "")</f>
        <v>45708</v>
      </c>
      <c r="G19" s="19">
        <f>IF(AND(YEAR(ФевВс1+25)=Год,MONTH(ФевВс1+25)=2),ФевВс1+25, "")</f>
        <v>45709</v>
      </c>
      <c r="H19" s="24">
        <f>IF(AND(YEAR(ФевВс1+26)=Год,MONTH(ФевВс1+26)=2),ФевВс1+26, "")</f>
        <v>45710</v>
      </c>
      <c r="I19" s="24">
        <f>IF(AND(YEAR(ФевВс1+27)=Год,MONTH(ФевВс1+27)=2),ФевВс1+27, "")</f>
        <v>45711</v>
      </c>
      <c r="J19" s="1"/>
      <c r="K19" s="19">
        <f>IF(AND(YEAR(МайВс1+21)=Год,MONTH(МайВс1+21)=5),МайВс1+21, "")</f>
        <v>45796</v>
      </c>
      <c r="L19" s="19">
        <f>IF(AND(YEAR(МайВс1+22)=Год,MONTH(МайВс1+22)=5),МайВс1+22, "")</f>
        <v>45797</v>
      </c>
      <c r="M19" s="19">
        <f>IF(AND(YEAR(МайВс1+23)=Год,MONTH(МайВс1+23)=5),МайВс1+23, "")</f>
        <v>45798</v>
      </c>
      <c r="N19" s="19">
        <f>IF(AND(YEAR(МайВс1+24)=Год,MONTH(МайВс1+24)=5),МайВс1+24, "")</f>
        <v>45799</v>
      </c>
      <c r="O19" s="19">
        <f>IF(AND(YEAR(МайВс1+25)=Год,MONTH(МайВс1+25)=5),МайВс1+25, "")</f>
        <v>45800</v>
      </c>
      <c r="P19" s="24">
        <f>IF(AND(YEAR(МайВс1+26)=Год,MONTH(МайВс1+26)=5),МайВс1+26, "")</f>
        <v>45801</v>
      </c>
      <c r="Q19" s="24">
        <f>IF(AND(YEAR(МайВс1+27)=Год,MONTH(МайВс1+27)=5),МайВс1+27, "")</f>
        <v>45802</v>
      </c>
      <c r="R19" s="1"/>
      <c r="S19" s="19">
        <f>IF(AND(YEAR(АвгВс1+21)=Год,MONTH(АвгВс1+21)=8),АвгВс1+21, "")</f>
        <v>45887</v>
      </c>
      <c r="T19" s="19">
        <f>IF(AND(YEAR(АвгВс1+22)=Год,MONTH(АвгВс1+22)=8),АвгВс1+22, "")</f>
        <v>45888</v>
      </c>
      <c r="U19" s="19">
        <f>IF(AND(YEAR(АвгВс1+23)=Год,MONTH(АвгВс1+23)=8),АвгВс1+23, "")</f>
        <v>45889</v>
      </c>
      <c r="V19" s="19">
        <f>IF(AND(YEAR(АвгВс1+24)=Год,MONTH(АвгВс1+24)=8),АвгВс1+24, "")</f>
        <v>45890</v>
      </c>
      <c r="W19" s="19">
        <f>IF(AND(YEAR(АвгВс1+25)=Год,MONTH(АвгВс1+25)=8),АвгВс1+25, "")</f>
        <v>45891</v>
      </c>
      <c r="X19" s="24">
        <f>IF(AND(YEAR(АвгВс1+26)=Год,MONTH(АвгВс1+26)=8),АвгВс1+26, "")</f>
        <v>45892</v>
      </c>
      <c r="Y19" s="24">
        <f>IF(AND(YEAR(АвгВс1+27)=Год,MONTH(АвгВс1+27)=8),АвгВс1+27, "")</f>
        <v>45893</v>
      </c>
      <c r="Z19" s="1"/>
      <c r="AA19" s="19">
        <f>IF(AND(YEAR(НояВс1+21)=Год,MONTH(НояВс1+21)=11),НояВс1+21, "")</f>
        <v>45978</v>
      </c>
      <c r="AB19" s="19">
        <f>IF(AND(YEAR(НояВс1+22)=Год,MONTH(НояВс1+22)=11),НояВс1+22, "")</f>
        <v>45979</v>
      </c>
      <c r="AC19" s="19">
        <f>IF(AND(YEAR(НояВс1+23)=Год,MONTH(НояВс1+23)=11),НояВс1+23, "")</f>
        <v>45980</v>
      </c>
      <c r="AD19" s="19">
        <f>IF(AND(YEAR(НояВс1+24)=Год,MONTH(НояВс1+24)=11),НояВс1+24, "")</f>
        <v>45981</v>
      </c>
      <c r="AE19" s="19">
        <f>IF(AND(YEAR(НояВс1+25)=Год,MONTH(НояВс1+25)=11),НояВс1+25, "")</f>
        <v>45982</v>
      </c>
      <c r="AF19" s="24">
        <f>IF(AND(YEAR(НояВс1+26)=Год,MONTH(НояВс1+26)=11),НояВс1+26, "")</f>
        <v>45983</v>
      </c>
      <c r="AG19" s="24">
        <f>IF(AND(YEAR(НояВс1+27)=Год,MONTH(НояВс1+27)=11),НояВс1+27, "")</f>
        <v>45984</v>
      </c>
      <c r="AH19" s="9"/>
    </row>
    <row r="20" spans="2:34" x14ac:dyDescent="0.2">
      <c r="B20" s="8"/>
      <c r="C20" s="19">
        <f>IF(AND(YEAR(ФевВс1+28)=Год,MONTH(ФевВс1+28)=2),ФевВс1+28, "")</f>
        <v>45712</v>
      </c>
      <c r="D20" s="19">
        <f>IF(AND(YEAR(ФевВс1+29)=Год,MONTH(ФевВс1+29)=2),ФевВс1+29, "")</f>
        <v>45713</v>
      </c>
      <c r="E20" s="19">
        <f>IF(AND(YEAR(ФевВс1+30)=Год,MONTH(ФевВс1+30)=2),ФевВс1+30, "")</f>
        <v>45714</v>
      </c>
      <c r="F20" s="19">
        <f>IF(AND(YEAR(ФевВс1+31)=Год,MONTH(ФевВс1+31)=2),ФевВс1+31, "")</f>
        <v>45715</v>
      </c>
      <c r="G20" s="19">
        <f>IF(AND(YEAR(ФевВс1+32)=Год,MONTH(ФевВс1+32)=2),ФевВс1+32, "")</f>
        <v>45716</v>
      </c>
      <c r="H20" s="19" t="str">
        <f>IF(AND(YEAR(ФевВс1+33)=Год,MONTH(ФевВс1+33)=2),ФевВс1+33, "")</f>
        <v/>
      </c>
      <c r="I20" s="19" t="str">
        <f>IF(AND(YEAR(ФевВс1+34)=Год,MONTH(ФевВс1+34)=2),ФевВс1+34, "")</f>
        <v/>
      </c>
      <c r="J20" s="1"/>
      <c r="K20" s="19">
        <f>IF(AND(YEAR(МайВс1+28)=Год,MONTH(МайВс1+28)=5),МайВс1+28, "")</f>
        <v>45803</v>
      </c>
      <c r="L20" s="19">
        <f>IF(AND(YEAR(МайВс1+29)=Год,MONTH(МайВс1+29)=5),МайВс1+29, "")</f>
        <v>45804</v>
      </c>
      <c r="M20" s="19">
        <f>IF(AND(YEAR(МайВс1+30)=Год,MONTH(МайВс1+30)=5),МайВс1+30, "")</f>
        <v>45805</v>
      </c>
      <c r="N20" s="19">
        <f>IF(AND(YEAR(МайВс1+31)=Год,MONTH(МайВс1+31)=5),МайВс1+31, "")</f>
        <v>45806</v>
      </c>
      <c r="O20" s="19">
        <f>IF(AND(YEAR(МайВс1+32)=Год,MONTH(МайВс1+32)=5),МайВс1+32, "")</f>
        <v>45807</v>
      </c>
      <c r="P20" s="24">
        <f>IF(AND(YEAR(МайВс1+33)=Год,MONTH(МайВс1+33)=5),МайВс1+33, "")</f>
        <v>45808</v>
      </c>
      <c r="Q20" s="19" t="str">
        <f>IF(AND(YEAR(МайВс1+34)=Год,MONTH(МайВс1+34)=5),МайВс1+34, "")</f>
        <v/>
      </c>
      <c r="R20" s="1"/>
      <c r="S20" s="19">
        <f>IF(AND(YEAR(АвгВс1+28)=Год,MONTH(АвгВс1+28)=8),АвгВс1+28, "")</f>
        <v>45894</v>
      </c>
      <c r="T20" s="19">
        <f>IF(AND(YEAR(АвгВс1+29)=Год,MONTH(АвгВс1+29)=8),АвгВс1+29, "")</f>
        <v>45895</v>
      </c>
      <c r="U20" s="19">
        <f>IF(AND(YEAR(АвгВс1+30)=Год,MONTH(АвгВс1+30)=8),АвгВс1+30, "")</f>
        <v>45896</v>
      </c>
      <c r="V20" s="19">
        <f>IF(AND(YEAR(АвгВс1+31)=Год,MONTH(АвгВс1+31)=8),АвгВс1+31, "")</f>
        <v>45897</v>
      </c>
      <c r="W20" s="19">
        <f>IF(AND(YEAR(АвгВс1+32)=Год,MONTH(АвгВс1+32)=8),АвгВс1+32, "")</f>
        <v>45898</v>
      </c>
      <c r="X20" s="24">
        <f>IF(AND(YEAR(АвгВс1+33)=Год,MONTH(АвгВс1+33)=8),АвгВс1+33, "")</f>
        <v>45899</v>
      </c>
      <c r="Y20" s="24">
        <f>IF(AND(YEAR(АвгВс1+34)=Год,MONTH(АвгВс1+34)=8),АвгВс1+34, "")</f>
        <v>45900</v>
      </c>
      <c r="Z20" s="1"/>
      <c r="AA20" s="19">
        <f>IF(AND(YEAR(НояВс1+28)=Год,MONTH(НояВс1+28)=11),НояВс1+28, "")</f>
        <v>45985</v>
      </c>
      <c r="AB20" s="19">
        <f>IF(AND(YEAR(НояВс1+29)=Год,MONTH(НояВс1+29)=11),НояВс1+29, "")</f>
        <v>45986</v>
      </c>
      <c r="AC20" s="19">
        <f>IF(AND(YEAR(НояВс1+30)=Год,MONTH(НояВс1+30)=11),НояВс1+30, "")</f>
        <v>45987</v>
      </c>
      <c r="AD20" s="19">
        <f>IF(AND(YEAR(НояВс1+31)=Год,MONTH(НояВс1+31)=11),НояВс1+31, "")</f>
        <v>45988</v>
      </c>
      <c r="AE20" s="19">
        <f>IF(AND(YEAR(НояВс1+32)=Год,MONTH(НояВс1+32)=11),НояВс1+32, "")</f>
        <v>45989</v>
      </c>
      <c r="AF20" s="24">
        <f>IF(AND(YEAR(НояВс1+33)=Год,MONTH(НояВс1+33)=11),НояВс1+33, "")</f>
        <v>45990</v>
      </c>
      <c r="AG20" s="24">
        <f>IF(AND(YEAR(НояВс1+34)=Год,MONTH(НояВс1+34)=11),НояВс1+34, "")</f>
        <v>45991</v>
      </c>
      <c r="AH20" s="9"/>
    </row>
    <row r="21" spans="2:34" x14ac:dyDescent="0.2">
      <c r="B21" s="15"/>
      <c r="C21" s="19" t="str">
        <f>IF(AND(YEAR(ФевВс1+35)=Год,MONTH(ФевВс1+35)=2),ФевВс1+35, "")</f>
        <v/>
      </c>
      <c r="D21" s="19" t="str">
        <f>IF(AND(YEAR(ФевВс1+36)=Год,MONTH(ФевВс1+36)=2),ФевВс1+36, "")</f>
        <v/>
      </c>
      <c r="E21" s="19" t="str">
        <f>IF(AND(YEAR(ФевВс1+37)=Год,MONTH(ФевВс1+37)=2),ФевВс1+37, "")</f>
        <v/>
      </c>
      <c r="F21" s="19" t="str">
        <f>IF(AND(YEAR(ФевВс1+38)=Год,MONTH(ФевВс1+38)=2),ФевВс1+38, "")</f>
        <v/>
      </c>
      <c r="G21" s="19" t="str">
        <f>IF(AND(YEAR(ФевВс1+39)=Год,MONTH(ФевВс1+39)=2),ФевВс1+39, "")</f>
        <v/>
      </c>
      <c r="H21" s="19" t="str">
        <f>IF(AND(YEAR(ФевВс1+40)=Год,MONTH(ФевВс1+40)=2),ФевВс1+40, "")</f>
        <v/>
      </c>
      <c r="I21" s="19" t="str">
        <f>IF(AND(YEAR(ФевВс1+41)=Год,MONTH(ФевВс1+41)=2),ФевВс1+41, "")</f>
        <v/>
      </c>
      <c r="J21" s="16"/>
      <c r="K21" s="19" t="str">
        <f>IF(AND(YEAR(МайВс1+35)=Год,MONTH(МайВс1+35)=5),МайВс1+35, "")</f>
        <v/>
      </c>
      <c r="L21" s="19" t="str">
        <f>IF(AND(YEAR(МайВс1+36)=Год,MONTH(МайВс1+36)=5),МайВс1+36, "")</f>
        <v/>
      </c>
      <c r="M21" s="19" t="str">
        <f>IF(AND(YEAR(МайВс1+37)=Год,MONTH(МайВс1+37)=5),МайВс1+37, "")</f>
        <v/>
      </c>
      <c r="N21" s="19" t="str">
        <f>IF(AND(YEAR(МайВс1+38)=Год,MONTH(МайВс1+38)=5),МайВс1+38, "")</f>
        <v/>
      </c>
      <c r="O21" s="19" t="str">
        <f>IF(AND(YEAR(МайВс1+39)=Год,MONTH(МайВс1+39)=5),МайВс1+39, "")</f>
        <v/>
      </c>
      <c r="P21" s="19" t="str">
        <f>IF(AND(YEAR(МайВс1+40)=Год,MONTH(МайВс1+40)=5),МайВс1+40, "")</f>
        <v/>
      </c>
      <c r="Q21" s="19" t="str">
        <f>IF(AND(YEAR(МайВс1+41)=Год,MONTH(МайВс1+41)=5),МайВс1+41, "")</f>
        <v/>
      </c>
      <c r="R21" s="16"/>
      <c r="S21" s="19" t="str">
        <f>IF(AND(YEAR(АвгВс1+35)=Год,MONTH(АвгВс1+35)=8),АвгВс1+35, "")</f>
        <v/>
      </c>
      <c r="T21" s="19" t="str">
        <f>IF(AND(YEAR(АвгВс1+36)=Год,MONTH(АвгВс1+36)=8),АвгВс1+36, "")</f>
        <v/>
      </c>
      <c r="U21" s="19" t="str">
        <f>IF(AND(YEAR(АвгВс1+37)=Год,MONTH(АвгВс1+37)=8),АвгВс1+37, "")</f>
        <v/>
      </c>
      <c r="V21" s="19" t="str">
        <f>IF(AND(YEAR(АвгВс1+38)=Год,MONTH(АвгВс1+38)=8),АвгВс1+38, "")</f>
        <v/>
      </c>
      <c r="W21" s="19" t="str">
        <f>IF(AND(YEAR(АвгВс1+39)=Год,MONTH(АвгВс1+39)=8),АвгВс1+39, "")</f>
        <v/>
      </c>
      <c r="X21" s="19" t="str">
        <f>IF(AND(YEAR(АвгВс1+40)=Год,MONTH(АвгВс1+40)=8),АвгВс1+40, "")</f>
        <v/>
      </c>
      <c r="Y21" s="19" t="str">
        <f>IF(AND(YEAR(АвгВс1+41)=Год,MONTH(АвгВс1+41)=8),АвгВс1+41, "")</f>
        <v/>
      </c>
      <c r="Z21" s="16"/>
      <c r="AA21" s="19" t="str">
        <f>IF(AND(YEAR(НояВс1+35)=Год,MONTH(НояВс1+35)=11),НояВс1+35, "")</f>
        <v/>
      </c>
      <c r="AB21" s="19" t="str">
        <f>IF(AND(YEAR(НояВс1+36)=Год,MONTH(НояВс1+36)=11),НояВс1+36, "")</f>
        <v/>
      </c>
      <c r="AC21" s="19" t="str">
        <f>IF(AND(YEAR(НояВс1+37)=Год,MONTH(НояВс1+37)=11),НояВс1+37, "")</f>
        <v/>
      </c>
      <c r="AD21" s="19" t="str">
        <f>IF(AND(YEAR(НояВс1+38)=Год,MONTH(НояВс1+38)=11),НояВс1+38, "")</f>
        <v/>
      </c>
      <c r="AE21" s="19" t="str">
        <f>IF(AND(YEAR(НояВс1+39)=Год,MONTH(НояВс1+39)=11),НояВс1+39, "")</f>
        <v/>
      </c>
      <c r="AF21" s="19" t="str">
        <f>IF(AND(YEAR(НояВс1+40)=Год,MONTH(НояВс1+40)=11),НояВс1+40, "")</f>
        <v/>
      </c>
      <c r="AG21" s="19" t="str">
        <f>IF(AND(YEAR(НояВс1+41)=Год,MONTH(НояВс1+41)=11),НояВс1+41, "")</f>
        <v/>
      </c>
      <c r="AH21" s="17"/>
    </row>
    <row r="22" spans="2:34" ht="4.5" customHeight="1" x14ac:dyDescent="0.2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</row>
    <row r="23" spans="2:34" x14ac:dyDescent="0.2">
      <c r="B23" s="8"/>
      <c r="C23" s="31" t="s">
        <v>3</v>
      </c>
      <c r="D23" s="31"/>
      <c r="E23" s="31"/>
      <c r="F23" s="31"/>
      <c r="G23" s="31"/>
      <c r="H23" s="31"/>
      <c r="I23" s="31"/>
      <c r="J23" s="1"/>
      <c r="K23" s="31" t="s">
        <v>13</v>
      </c>
      <c r="L23" s="31"/>
      <c r="M23" s="31"/>
      <c r="N23" s="31"/>
      <c r="O23" s="31"/>
      <c r="P23" s="31"/>
      <c r="Q23" s="31"/>
      <c r="R23" s="1"/>
      <c r="S23" s="31" t="s">
        <v>16</v>
      </c>
      <c r="T23" s="31"/>
      <c r="U23" s="31"/>
      <c r="V23" s="31"/>
      <c r="W23" s="31"/>
      <c r="X23" s="31"/>
      <c r="Y23" s="31"/>
      <c r="Z23" s="1"/>
      <c r="AA23" s="31" t="s">
        <v>19</v>
      </c>
      <c r="AB23" s="31"/>
      <c r="AC23" s="31"/>
      <c r="AD23" s="31"/>
      <c r="AE23" s="31"/>
      <c r="AF23" s="31"/>
      <c r="AG23" s="31"/>
      <c r="AH23" s="9"/>
    </row>
    <row r="24" spans="2:34" x14ac:dyDescent="0.2">
      <c r="B24" s="8"/>
      <c r="C24" s="3" t="s">
        <v>1</v>
      </c>
      <c r="D24" s="3" t="s">
        <v>4</v>
      </c>
      <c r="E24" s="3" t="s">
        <v>6</v>
      </c>
      <c r="F24" s="3" t="s">
        <v>5</v>
      </c>
      <c r="G24" s="3" t="s">
        <v>7</v>
      </c>
      <c r="H24" s="4" t="s">
        <v>8</v>
      </c>
      <c r="I24" s="4" t="s">
        <v>9</v>
      </c>
      <c r="J24" s="1"/>
      <c r="K24" s="3" t="s">
        <v>1</v>
      </c>
      <c r="L24" s="3" t="s">
        <v>4</v>
      </c>
      <c r="M24" s="3" t="s">
        <v>6</v>
      </c>
      <c r="N24" s="3" t="s">
        <v>5</v>
      </c>
      <c r="O24" s="3" t="s">
        <v>7</v>
      </c>
      <c r="P24" s="4" t="s">
        <v>8</v>
      </c>
      <c r="Q24" s="4" t="s">
        <v>9</v>
      </c>
      <c r="R24" s="1"/>
      <c r="S24" s="3" t="s">
        <v>1</v>
      </c>
      <c r="T24" s="3" t="s">
        <v>4</v>
      </c>
      <c r="U24" s="3" t="s">
        <v>6</v>
      </c>
      <c r="V24" s="3" t="s">
        <v>5</v>
      </c>
      <c r="W24" s="3" t="s">
        <v>7</v>
      </c>
      <c r="X24" s="4" t="s">
        <v>8</v>
      </c>
      <c r="Y24" s="4" t="s">
        <v>9</v>
      </c>
      <c r="Z24" s="1"/>
      <c r="AA24" s="3" t="s">
        <v>1</v>
      </c>
      <c r="AB24" s="3" t="s">
        <v>4</v>
      </c>
      <c r="AC24" s="3" t="s">
        <v>6</v>
      </c>
      <c r="AD24" s="3" t="s">
        <v>5</v>
      </c>
      <c r="AE24" s="3" t="s">
        <v>7</v>
      </c>
      <c r="AF24" s="4" t="s">
        <v>8</v>
      </c>
      <c r="AG24" s="4" t="s">
        <v>9</v>
      </c>
      <c r="AH24" s="9"/>
    </row>
    <row r="25" spans="2:34" x14ac:dyDescent="0.2">
      <c r="B25" s="8"/>
      <c r="C25" s="18" t="str">
        <f>IF(AND(YEAR(МарВс1)=Год,MONTH(МарВс1)=3),МарВс1, "")</f>
        <v/>
      </c>
      <c r="D25" s="18" t="str">
        <f>IF(AND(YEAR(МарВс1+1)=Год,MONTH(МарВс1+1)=3),МарВс1+1, "")</f>
        <v/>
      </c>
      <c r="E25" s="18" t="str">
        <f>IF(AND(YEAR(МарВс1+2)=Год,MONTH(МарВс1+2)=3),МарВс1+2, "")</f>
        <v/>
      </c>
      <c r="F25" s="18" t="str">
        <f>IF(AND(YEAR(МарВс1+3)=Год,MONTH(МарВс1+3)=3),МарВс1+3, "")</f>
        <v/>
      </c>
      <c r="G25" s="18" t="str">
        <f>IF(AND(YEAR(МарВс1+4)=Год,MONTH(МарВс1+4)=3),МарВс1+4, "")</f>
        <v/>
      </c>
      <c r="H25" s="25">
        <f>IF(AND(YEAR(МарВс1+5)=Год,MONTH(МарВс1+5)=3),МарВс1+5, "")</f>
        <v>45717</v>
      </c>
      <c r="I25" s="25">
        <f>IF(AND(YEAR(МарВс1+6)=Год,MONTH(МарВс1+6)=3),МарВс1+6, "")</f>
        <v>45718</v>
      </c>
      <c r="J25" s="1"/>
      <c r="K25" s="18" t="str">
        <f>IF(AND(YEAR(ИюнВс1)=Год,MONTH(ИюнВс1)=6),ИюнВс1, "")</f>
        <v/>
      </c>
      <c r="L25" s="18" t="str">
        <f>IF(AND(YEAR(ИюнВс1+1)=Год,MONTH(ИюнВс1+1)=6),ИюнВс1+1, "")</f>
        <v/>
      </c>
      <c r="M25" s="18" t="str">
        <f>IF(AND(YEAR(ИюнВс1+2)=Год,MONTH(ИюнВс1+2)=6),ИюнВс1+2, "")</f>
        <v/>
      </c>
      <c r="N25" s="18" t="str">
        <f>IF(AND(YEAR(ИюнВс1+3)=Год,MONTH(ИюнВс1+3)=6),ИюнВс1+3, "")</f>
        <v/>
      </c>
      <c r="O25" s="18" t="str">
        <f>IF(AND(YEAR(ИюнВс1+4)=Год,MONTH(ИюнВс1+4)=6),ИюнВс1+4, "")</f>
        <v/>
      </c>
      <c r="P25" s="18" t="str">
        <f>IF(AND(YEAR(ИюнВс1+5)=Год,MONTH(ИюнВс1+5)=6),ИюнВс1+5, "")</f>
        <v/>
      </c>
      <c r="Q25" s="25">
        <f>IF(AND(YEAR(ИюнВс1+6)=Год,MONTH(ИюнВс1+6)=6),ИюнВс1+6, "")</f>
        <v>45809</v>
      </c>
      <c r="R25" s="1"/>
      <c r="S25" s="18">
        <f>IF(AND(YEAR(СенВс1)=Год,MONTH(СенВс1)=9),СенВс1, "")</f>
        <v>45901</v>
      </c>
      <c r="T25" s="18">
        <f>IF(AND(YEAR(СенВс1+1)=Год,MONTH(СенВс1+1)=9),СенВс1+1, "")</f>
        <v>45902</v>
      </c>
      <c r="U25" s="18">
        <f>IF(AND(YEAR(СенВс1+2)=Год,MONTH(СенВс1+2)=9),СенВс1+2, "")</f>
        <v>45903</v>
      </c>
      <c r="V25" s="18">
        <f>IF(AND(YEAR(СенВс1+3)=Год,MONTH(СенВс1+3)=9),СенВс1+3, "")</f>
        <v>45904</v>
      </c>
      <c r="W25" s="18">
        <f>IF(AND(YEAR(СенВс1+4)=Год,MONTH(СенВс1+4)=9),СенВс1+4, "")</f>
        <v>45905</v>
      </c>
      <c r="X25" s="25">
        <f>IF(AND(YEAR(СенВс1+5)=Год,MONTH(СенВс1+5)=9),СенВс1+5, "")</f>
        <v>45906</v>
      </c>
      <c r="Y25" s="25">
        <f>IF(AND(YEAR(СенВс1+6)=Год,MONTH(СенВс1+6)=9),СенВс1+6, "")</f>
        <v>45907</v>
      </c>
      <c r="Z25" s="1"/>
      <c r="AA25" s="18">
        <f>IF(AND(YEAR(ДекВс1)=Год,MONTH(ДекВс1)=12),ДекВс1, "")</f>
        <v>45992</v>
      </c>
      <c r="AB25" s="18">
        <f>IF(AND(YEAR(ДекВс1+1)=Год,MONTH(ДекВс1+1)=12),ДекВс1+1, "")</f>
        <v>45993</v>
      </c>
      <c r="AC25" s="18">
        <f>IF(AND(YEAR(ДекВс1+2)=Год,MONTH(ДекВс1+2)=12),ДекВс1+2, "")</f>
        <v>45994</v>
      </c>
      <c r="AD25" s="18">
        <f>IF(AND(YEAR(ДекВс1+3)=Год,MONTH(ДекВс1+3)=12),ДекВс1+3, "")</f>
        <v>45995</v>
      </c>
      <c r="AE25" s="18">
        <f>IF(AND(YEAR(ДекВс1+4)=Год,MONTH(ДекВс1+4)=12),ДекВс1+4, "")</f>
        <v>45996</v>
      </c>
      <c r="AF25" s="25">
        <f>IF(AND(YEAR(ДекВс1+5)=Год,MONTH(ДекВс1+5)=12),ДекВс1+5, "")</f>
        <v>45997</v>
      </c>
      <c r="AG25" s="25">
        <f>IF(AND(YEAR(ДекВс1+6)=Год,MONTH(ДекВс1+6)=12),ДекВс1+6, "")</f>
        <v>45998</v>
      </c>
      <c r="AH25" s="9"/>
    </row>
    <row r="26" spans="2:34" x14ac:dyDescent="0.2">
      <c r="B26" s="8"/>
      <c r="C26" s="19">
        <f>IF(AND(YEAR(МарВс1+7)=Год,MONTH(МарВс1+7)=3),МарВс1+7, "")</f>
        <v>45719</v>
      </c>
      <c r="D26" s="19">
        <f>IF(AND(YEAR(МарВс1+8)=Год,MONTH(МарВс1+8)=3),МарВс1+8, "")</f>
        <v>45720</v>
      </c>
      <c r="E26" s="19">
        <f>IF(AND(YEAR(МарВс1+9)=Год,MONTH(МарВс1+9)=3),МарВс1+9, "")</f>
        <v>45721</v>
      </c>
      <c r="F26" s="19">
        <f>IF(AND(YEAR(МарВс1+10)=Год,MONTH(МарВс1+10)=3),МарВс1+10, "")</f>
        <v>45722</v>
      </c>
      <c r="G26" s="19">
        <f>IF(AND(YEAR(МарВс1+11)=Год,MONTH(МарВс1+11)=3),МарВс1+11, "")</f>
        <v>45723</v>
      </c>
      <c r="H26" s="24">
        <f>IF(AND(YEAR(МарВс1+12)=Год,MONTH(МарВс1+12)=3),МарВс1+12, "")</f>
        <v>45724</v>
      </c>
      <c r="I26" s="24">
        <f>IF(AND(YEAR(МарВс1+13)=Год,MONTH(МарВс1+13)=3),МарВс1+13, "")</f>
        <v>45725</v>
      </c>
      <c r="J26" s="1"/>
      <c r="K26" s="19">
        <f>IF(AND(YEAR(ИюнВс1+7)=Год,MONTH(ИюнВс1+7)=6),ИюнВс1+7, "")</f>
        <v>45810</v>
      </c>
      <c r="L26" s="19">
        <f>IF(AND(YEAR(ИюнВс1+8)=Год,MONTH(ИюнВс1+8)=6),ИюнВс1+8, "")</f>
        <v>45811</v>
      </c>
      <c r="M26" s="19">
        <f>IF(AND(YEAR(ИюнВс1+9)=Год,MONTH(ИюнВс1+9)=6),ИюнВс1+9, "")</f>
        <v>45812</v>
      </c>
      <c r="N26" s="19">
        <f>IF(AND(YEAR(ИюнВс1+10)=Год,MONTH(ИюнВс1+10)=6),ИюнВс1+10, "")</f>
        <v>45813</v>
      </c>
      <c r="O26" s="19">
        <f>IF(AND(YEAR(ИюнВс1+11)=Год,MONTH(ИюнВс1+11)=6),ИюнВс1+11, "")</f>
        <v>45814</v>
      </c>
      <c r="P26" s="24">
        <f>IF(AND(YEAR(ИюнВс1+12)=Год,MONTH(ИюнВс1+12)=6),ИюнВс1+12, "")</f>
        <v>45815</v>
      </c>
      <c r="Q26" s="24">
        <f>IF(AND(YEAR(ИюнВс1+13)=Год,MONTH(ИюнВс1+13)=6),ИюнВс1+13, "")</f>
        <v>45816</v>
      </c>
      <c r="R26" s="1"/>
      <c r="S26" s="19">
        <f>IF(AND(YEAR(СенВс1+7)=Год,MONTH(СенВс1+7)=9),СенВс1+7, "")</f>
        <v>45908</v>
      </c>
      <c r="T26" s="19">
        <f>IF(AND(YEAR(СенВс1+8)=Год,MONTH(СенВс1+8)=9),СенВс1+8, "")</f>
        <v>45909</v>
      </c>
      <c r="U26" s="19">
        <f>IF(AND(YEAR(СенВс1+9)=Год,MONTH(СенВс1+9)=9),СенВс1+9, "")</f>
        <v>45910</v>
      </c>
      <c r="V26" s="19">
        <f>IF(AND(YEAR(СенВс1+10)=Год,MONTH(СенВс1+10)=9),СенВс1+10, "")</f>
        <v>45911</v>
      </c>
      <c r="W26" s="19">
        <f>IF(AND(YEAR(СенВс1+11)=Год,MONTH(СенВс1+11)=9),СенВс1+11, "")</f>
        <v>45912</v>
      </c>
      <c r="X26" s="24">
        <f>IF(AND(YEAR(СенВс1+12)=Год,MONTH(СенВс1+12)=9),СенВс1+12, "")</f>
        <v>45913</v>
      </c>
      <c r="Y26" s="24">
        <f>IF(AND(YEAR(СенВс1+13)=Год,MONTH(СенВс1+13)=9),СенВс1+13, "")</f>
        <v>45914</v>
      </c>
      <c r="Z26" s="1"/>
      <c r="AA26" s="19">
        <f>IF(AND(YEAR(ДекВс1+7)=Год,MONTH(ДекВс1+7)=12),ДекВс1+7, "")</f>
        <v>45999</v>
      </c>
      <c r="AB26" s="19">
        <f>IF(AND(YEAR(ДекВс1+8)=Год,MONTH(ДекВс1+8)=12),ДекВс1+8, "")</f>
        <v>46000</v>
      </c>
      <c r="AC26" s="19">
        <f>IF(AND(YEAR(ДекВс1+9)=Год,MONTH(ДекВс1+9)=12),ДекВс1+9, "")</f>
        <v>46001</v>
      </c>
      <c r="AD26" s="19">
        <f>IF(AND(YEAR(ДекВс1+10)=Год,MONTH(ДекВс1+10)=12),ДекВс1+10, "")</f>
        <v>46002</v>
      </c>
      <c r="AE26" s="19">
        <f>IF(AND(YEAR(ДекВс1+11)=Год,MONTH(ДекВс1+11)=12),ДекВс1+11, "")</f>
        <v>46003</v>
      </c>
      <c r="AF26" s="24">
        <f>IF(AND(YEAR(ДекВс1+12)=Год,MONTH(ДекВс1+12)=12),ДекВс1+12, "")</f>
        <v>46004</v>
      </c>
      <c r="AG26" s="24">
        <f>IF(AND(YEAR(ДекВс1+13)=Год,MONTH(ДекВс1+13)=12),ДекВс1+13, "")</f>
        <v>46005</v>
      </c>
      <c r="AH26" s="9"/>
    </row>
    <row r="27" spans="2:34" x14ac:dyDescent="0.2">
      <c r="B27" s="8"/>
      <c r="C27" s="19">
        <f>IF(AND(YEAR(МарВс1+14)=Год,MONTH(МарВс1+14)=3),МарВс1+14, "")</f>
        <v>45726</v>
      </c>
      <c r="D27" s="19">
        <f>IF(AND(YEAR(МарВс1+15)=Год,MONTH(МарВс1+15)=3),МарВс1+15, "")</f>
        <v>45727</v>
      </c>
      <c r="E27" s="19">
        <f>IF(AND(YEAR(МарВс1+16)=Год,MONTH(МарВс1+16)=3),МарВс1+16, "")</f>
        <v>45728</v>
      </c>
      <c r="F27" s="19">
        <f>IF(AND(YEAR(МарВс1+17)=Год,MONTH(МарВс1+17)=3),МарВс1+17, "")</f>
        <v>45729</v>
      </c>
      <c r="G27" s="19">
        <f>IF(AND(YEAR(МарВс1+18)=Год,MONTH(МарВс1+18)=3),МарВс1+18, "")</f>
        <v>45730</v>
      </c>
      <c r="H27" s="24">
        <f>IF(AND(YEAR(МарВс1+19)=Год,MONTH(МарВс1+19)=3),МарВс1+19, "")</f>
        <v>45731</v>
      </c>
      <c r="I27" s="24">
        <f>IF(AND(YEAR(МарВс1+20)=Год,MONTH(МарВс1+20)=3),МарВс1+20, "")</f>
        <v>45732</v>
      </c>
      <c r="J27" s="1"/>
      <c r="K27" s="19">
        <f>IF(AND(YEAR(ИюнВс1+14)=Год,MONTH(ИюнВс1+14)=6),ИюнВс1+14, "")</f>
        <v>45817</v>
      </c>
      <c r="L27" s="19">
        <f>IF(AND(YEAR(ИюнВс1+15)=Год,MONTH(ИюнВс1+15)=6),ИюнВс1+15, "")</f>
        <v>45818</v>
      </c>
      <c r="M27" s="19">
        <f>IF(AND(YEAR(ИюнВс1+16)=Год,MONTH(ИюнВс1+16)=6),ИюнВс1+16, "")</f>
        <v>45819</v>
      </c>
      <c r="N27" s="24">
        <f>IF(AND(YEAR(ИюнВс1+17)=Год,MONTH(ИюнВс1+17)=6),ИюнВс1+17, "")</f>
        <v>45820</v>
      </c>
      <c r="O27" s="24">
        <f>IF(AND(YEAR(ИюнВс1+18)=Год,MONTH(ИюнВс1+18)=6),ИюнВс1+18, "")</f>
        <v>45821</v>
      </c>
      <c r="P27" s="24">
        <f>IF(AND(YEAR(ИюнВс1+19)=Год,MONTH(ИюнВс1+19)=6),ИюнВс1+19, "")</f>
        <v>45822</v>
      </c>
      <c r="Q27" s="24">
        <f>IF(AND(YEAR(ИюнВс1+20)=Год,MONTH(ИюнВс1+20)=6),ИюнВс1+20, "")</f>
        <v>45823</v>
      </c>
      <c r="R27" s="1"/>
      <c r="S27" s="19">
        <f>IF(AND(YEAR(СенВс1+14)=Год,MONTH(СенВс1+14)=9),СенВс1+14, "")</f>
        <v>45915</v>
      </c>
      <c r="T27" s="19">
        <f>IF(AND(YEAR(СенВс1+15)=Год,MONTH(СенВс1+15)=9),СенВс1+15, "")</f>
        <v>45916</v>
      </c>
      <c r="U27" s="19">
        <f>IF(AND(YEAR(СенВс1+16)=Год,MONTH(СенВс1+16)=9),СенВс1+16, "")</f>
        <v>45917</v>
      </c>
      <c r="V27" s="19">
        <f>IF(AND(YEAR(СенВс1+17)=Год,MONTH(СенВс1+17)=9),СенВс1+17, "")</f>
        <v>45918</v>
      </c>
      <c r="W27" s="19">
        <f>IF(AND(YEAR(СенВс1+18)=Год,MONTH(СенВс1+18)=9),СенВс1+18, "")</f>
        <v>45919</v>
      </c>
      <c r="X27" s="24">
        <f>IF(AND(YEAR(СенВс1+19)=Год,MONTH(СенВс1+19)=9),СенВс1+19, "")</f>
        <v>45920</v>
      </c>
      <c r="Y27" s="24">
        <f>IF(AND(YEAR(СенВс1+20)=Год,MONTH(СенВс1+20)=9),СенВс1+20, "")</f>
        <v>45921</v>
      </c>
      <c r="Z27" s="1"/>
      <c r="AA27" s="19">
        <f>IF(AND(YEAR(ДекВс1+14)=Год,MONTH(ДекВс1+14)=12),ДекВс1+14, "")</f>
        <v>46006</v>
      </c>
      <c r="AB27" s="19">
        <f>IF(AND(YEAR(ДекВс1+15)=Год,MONTH(ДекВс1+15)=12),ДекВс1+15, "")</f>
        <v>46007</v>
      </c>
      <c r="AC27" s="19">
        <f>IF(AND(YEAR(ДекВс1+16)=Год,MONTH(ДекВс1+16)=12),ДекВс1+16, "")</f>
        <v>46008</v>
      </c>
      <c r="AD27" s="19">
        <f>IF(AND(YEAR(ДекВс1+17)=Год,MONTH(ДекВс1+17)=12),ДекВс1+17, "")</f>
        <v>46009</v>
      </c>
      <c r="AE27" s="19">
        <f>IF(AND(YEAR(ДекВс1+18)=Год,MONTH(ДекВс1+18)=12),ДекВс1+18, "")</f>
        <v>46010</v>
      </c>
      <c r="AF27" s="24">
        <f>IF(AND(YEAR(ДекВс1+19)=Год,MONTH(ДекВс1+19)=12),ДекВс1+19, "")</f>
        <v>46011</v>
      </c>
      <c r="AG27" s="24">
        <f>IF(AND(YEAR(ДекВс1+20)=Год,MONTH(ДекВс1+20)=12),ДекВс1+20, "")</f>
        <v>46012</v>
      </c>
      <c r="AH27" s="9"/>
    </row>
    <row r="28" spans="2:34" x14ac:dyDescent="0.2">
      <c r="B28" s="8"/>
      <c r="C28" s="19">
        <f>IF(AND(YEAR(МарВс1+21)=Год,MONTH(МарВс1+21)=3),МарВс1+21, "")</f>
        <v>45733</v>
      </c>
      <c r="D28" s="19">
        <f>IF(AND(YEAR(МарВс1+22)=Год,MONTH(МарВс1+22)=3),МарВс1+22, "")</f>
        <v>45734</v>
      </c>
      <c r="E28" s="19">
        <f>IF(AND(YEAR(МарВс1+23)=Год,MONTH(МарВс1+23)=3),МарВс1+23, "")</f>
        <v>45735</v>
      </c>
      <c r="F28" s="19">
        <f>IF(AND(YEAR(МарВс1+24)=Год,MONTH(МарВс1+24)=3),МарВс1+24, "")</f>
        <v>45736</v>
      </c>
      <c r="G28" s="19">
        <f>IF(AND(YEAR(МарВс1+25)=Год,MONTH(МарВс1+25)=3),МарВс1+25, "")</f>
        <v>45737</v>
      </c>
      <c r="H28" s="24">
        <f>IF(AND(YEAR(МарВс1+26)=Год,MONTH(МарВс1+26)=3),МарВс1+26, "")</f>
        <v>45738</v>
      </c>
      <c r="I28" s="24">
        <f>IF(AND(YEAR(МарВс1+27)=Год,MONTH(МарВс1+27)=3),МарВс1+27, "")</f>
        <v>45739</v>
      </c>
      <c r="J28" s="1"/>
      <c r="K28" s="19">
        <f>IF(AND(YEAR(ИюнВс1+21)=Год,MONTH(ИюнВс1+21)=6),ИюнВс1+21, "")</f>
        <v>45824</v>
      </c>
      <c r="L28" s="19">
        <f>IF(AND(YEAR(ИюнВс1+22)=Год,MONTH(ИюнВс1+22)=6),ИюнВс1+22, "")</f>
        <v>45825</v>
      </c>
      <c r="M28" s="19">
        <f>IF(AND(YEAR(ИюнВс1+23)=Год,MONTH(ИюнВс1+23)=6),ИюнВс1+23, "")</f>
        <v>45826</v>
      </c>
      <c r="N28" s="19">
        <f>IF(AND(YEAR(ИюнВс1+24)=Год,MONTH(ИюнВс1+24)=6),ИюнВс1+24, "")</f>
        <v>45827</v>
      </c>
      <c r="O28" s="19">
        <f>IF(AND(YEAR(ИюнВс1+25)=Год,MONTH(ИюнВс1+25)=6),ИюнВс1+25, "")</f>
        <v>45828</v>
      </c>
      <c r="P28" s="24">
        <f>IF(AND(YEAR(ИюнВс1+26)=Год,MONTH(ИюнВс1+26)=6),ИюнВс1+26, "")</f>
        <v>45829</v>
      </c>
      <c r="Q28" s="24">
        <f>IF(AND(YEAR(ИюнВс1+27)=Год,MONTH(ИюнВс1+27)=6),ИюнВс1+27, "")</f>
        <v>45830</v>
      </c>
      <c r="R28" s="1"/>
      <c r="S28" s="19">
        <f>IF(AND(YEAR(СенВс1+21)=Год,MONTH(СенВс1+21)=9),СенВс1+21, "")</f>
        <v>45922</v>
      </c>
      <c r="T28" s="19">
        <f>IF(AND(YEAR(СенВс1+22)=Год,MONTH(СенВс1+22)=9),СенВс1+22, "")</f>
        <v>45923</v>
      </c>
      <c r="U28" s="19">
        <f>IF(AND(YEAR(СенВс1+23)=Год,MONTH(СенВс1+23)=9),СенВс1+23, "")</f>
        <v>45924</v>
      </c>
      <c r="V28" s="19">
        <f>IF(AND(YEAR(СенВс1+24)=Год,MONTH(СенВс1+24)=9),СенВс1+24, "")</f>
        <v>45925</v>
      </c>
      <c r="W28" s="19">
        <f>IF(AND(YEAR(СенВс1+25)=Год,MONTH(СенВс1+25)=9),СенВс1+25, "")</f>
        <v>45926</v>
      </c>
      <c r="X28" s="24">
        <f>IF(AND(YEAR(СенВс1+26)=Год,MONTH(СенВс1+26)=9),СенВс1+26, "")</f>
        <v>45927</v>
      </c>
      <c r="Y28" s="24">
        <f>IF(AND(YEAR(СенВс1+27)=Год,MONTH(СенВс1+27)=9),СенВс1+27, "")</f>
        <v>45928</v>
      </c>
      <c r="Z28" s="1"/>
      <c r="AA28" s="19">
        <f>IF(AND(YEAR(ДекВс1+21)=Год,MONTH(ДекВс1+21)=12),ДекВс1+21, "")</f>
        <v>46013</v>
      </c>
      <c r="AB28" s="19">
        <f>IF(AND(YEAR(ДекВс1+22)=Год,MONTH(ДекВс1+22)=12),ДекВс1+22, "")</f>
        <v>46014</v>
      </c>
      <c r="AC28" s="19">
        <f>IF(AND(YEAR(ДекВс1+23)=Год,MONTH(ДекВс1+23)=12),ДекВс1+23, "")</f>
        <v>46015</v>
      </c>
      <c r="AD28" s="19">
        <f>IF(AND(YEAR(ДекВс1+24)=Год,MONTH(ДекВс1+24)=12),ДекВс1+24, "")</f>
        <v>46016</v>
      </c>
      <c r="AE28" s="19">
        <f>IF(AND(YEAR(ДекВс1+25)=Год,MONTH(ДекВс1+25)=12),ДекВс1+25, "")</f>
        <v>46017</v>
      </c>
      <c r="AF28" s="24">
        <f>IF(AND(YEAR(ДекВс1+26)=Год,MONTH(ДекВс1+26)=12),ДекВс1+26, "")</f>
        <v>46018</v>
      </c>
      <c r="AG28" s="24">
        <f>IF(AND(YEAR(ДекВс1+27)=Год,MONTH(ДекВс1+27)=12),ДекВс1+27, "")</f>
        <v>46019</v>
      </c>
      <c r="AH28" s="9"/>
    </row>
    <row r="29" spans="2:34" x14ac:dyDescent="0.2">
      <c r="B29" s="8"/>
      <c r="C29" s="19">
        <f>IF(AND(YEAR(МарВс1+28)=Год,MONTH(МарВс1+28)=3),МарВс1+28, "")</f>
        <v>45740</v>
      </c>
      <c r="D29" s="19">
        <f>IF(AND(YEAR(МарВс1+29)=Год,MONTH(МарВс1+29)=3),МарВс1+29, "")</f>
        <v>45741</v>
      </c>
      <c r="E29" s="19">
        <f>IF(AND(YEAR(МарВс1+30)=Год,MONTH(МарВс1+30)=3),МарВс1+30, "")</f>
        <v>45742</v>
      </c>
      <c r="F29" s="19">
        <f>IF(AND(YEAR(МарВс1+31)=Год,MONTH(МарВс1+31)=3),МарВс1+31, "")</f>
        <v>45743</v>
      </c>
      <c r="G29" s="19">
        <f>IF(AND(YEAR(МарВс1+32)=Год,MONTH(МарВс1+32)=3),МарВс1+32, "")</f>
        <v>45744</v>
      </c>
      <c r="H29" s="24">
        <f>IF(AND(YEAR(МарВс1+33)=Год,MONTH(МарВс1+33)=3),МарВс1+33, "")</f>
        <v>45745</v>
      </c>
      <c r="I29" s="24">
        <f>IF(AND(YEAR(МарВс1+34)=Год,MONTH(МарВс1+34)=3),МарВс1+34, "")</f>
        <v>45746</v>
      </c>
      <c r="J29" s="1"/>
      <c r="K29" s="19">
        <f>IF(AND(YEAR(ИюнВс1+28)=Год,MONTH(ИюнВс1+28)=6),ИюнВс1+28, "")</f>
        <v>45831</v>
      </c>
      <c r="L29" s="19">
        <f>IF(AND(YEAR(ИюнВс1+29)=Год,MONTH(ИюнВс1+29)=6),ИюнВс1+29, "")</f>
        <v>45832</v>
      </c>
      <c r="M29" s="19">
        <f>IF(AND(YEAR(ИюнВс1+30)=Год,MONTH(ИюнВс1+30)=6),ИюнВс1+30, "")</f>
        <v>45833</v>
      </c>
      <c r="N29" s="19">
        <f>IF(AND(YEAR(ИюнВс1+31)=Год,MONTH(ИюнВс1+31)=6),ИюнВс1+31, "")</f>
        <v>45834</v>
      </c>
      <c r="O29" s="19">
        <f>IF(AND(YEAR(ИюнВс1+32)=Год,MONTH(ИюнВс1+32)=6),ИюнВс1+32, "")</f>
        <v>45835</v>
      </c>
      <c r="P29" s="24">
        <f>IF(AND(YEAR(ИюнВс1+33)=Год,MONTH(ИюнВс1+33)=6),ИюнВс1+33, "")</f>
        <v>45836</v>
      </c>
      <c r="Q29" s="24">
        <f>IF(AND(YEAR(ИюнВс1+34)=Год,MONTH(ИюнВс1+34)=6),ИюнВс1+34, "")</f>
        <v>45837</v>
      </c>
      <c r="R29" s="1"/>
      <c r="S29" s="19">
        <f>IF(AND(YEAR(СенВс1+28)=Год,MONTH(СенВс1+28)=9),СенВс1+28, "")</f>
        <v>45929</v>
      </c>
      <c r="T29" s="19">
        <f>IF(AND(YEAR(СенВс1+29)=Год,MONTH(СенВс1+29)=9),СенВс1+29, "")</f>
        <v>45930</v>
      </c>
      <c r="U29" s="19" t="str">
        <f>IF(AND(YEAR(СенВс1+30)=Год,MONTH(СенВс1+30)=9),СенВс1+30, "")</f>
        <v/>
      </c>
      <c r="V29" s="19" t="str">
        <f>IF(AND(YEAR(СенВс1+31)=Год,MONTH(СенВс1+31)=9),СенВс1+31, "")</f>
        <v/>
      </c>
      <c r="W29" s="19" t="str">
        <f>IF(AND(YEAR(СенВс1+32)=Год,MONTH(СенВс1+32)=9),СенВс1+32, "")</f>
        <v/>
      </c>
      <c r="X29" s="19" t="str">
        <f>IF(AND(YEAR(СенВс1+33)=Год,MONTH(СенВс1+33)=9),СенВс1+33, "")</f>
        <v/>
      </c>
      <c r="Y29" s="19" t="str">
        <f>IF(AND(YEAR(СенВс1+34)=Год,MONTH(СенВс1+34)=9),СенВс1+34, "")</f>
        <v/>
      </c>
      <c r="Z29" s="1"/>
      <c r="AA29" s="19">
        <f>IF(AND(YEAR(ДекВс1+28)=Год,MONTH(ДекВс1+28)=12),ДекВс1+28, "")</f>
        <v>46020</v>
      </c>
      <c r="AB29" s="19">
        <f>IF(AND(YEAR(ДекВс1+29)=Год,MONTH(ДекВс1+29)=12),ДекВс1+29, "")</f>
        <v>46021</v>
      </c>
      <c r="AC29" s="24">
        <f>IF(AND(YEAR(ДекВс1+30)=Год,MONTH(ДекВс1+30)=12),ДекВс1+30, "")</f>
        <v>46022</v>
      </c>
      <c r="AD29" s="19" t="str">
        <f>IF(AND(YEAR(ДекВс1+31)=Год,MONTH(ДекВс1+31)=12),ДекВс1+31, "")</f>
        <v/>
      </c>
      <c r="AE29" s="19" t="str">
        <f>IF(AND(YEAR(ДекВс1+32)=Год,MONTH(ДекВс1+32)=12),ДекВс1+32, "")</f>
        <v/>
      </c>
      <c r="AF29" s="19" t="str">
        <f>IF(AND(YEAR(ДекВс1+33)=Год,MONTH(ДекВс1+33)=12),ДекВс1+33, "")</f>
        <v/>
      </c>
      <c r="AG29" s="19" t="str">
        <f>IF(AND(YEAR(ДекВс1+34)=Год,MONTH(ДекВс1+34)=12),ДекВс1+34, "")</f>
        <v/>
      </c>
      <c r="AH29" s="9"/>
    </row>
    <row r="30" spans="2:34" x14ac:dyDescent="0.2">
      <c r="B30" s="8"/>
      <c r="C30" s="19">
        <f>IF(AND(YEAR(МарВс1+35)=Год,MONTH(МарВс1+35)=3),МарВс1+35, "")</f>
        <v>45747</v>
      </c>
      <c r="D30" s="19" t="str">
        <f>IF(AND(YEAR(МарВс1+36)=Год,MONTH(МарВс1+36)=3),МарВс1+36, "")</f>
        <v/>
      </c>
      <c r="E30" s="19" t="str">
        <f>IF(AND(YEAR(МарВс1+37)=Год,MONTH(МарВс1+37)=3),МарВс1+37, "")</f>
        <v/>
      </c>
      <c r="F30" s="19" t="str">
        <f>IF(AND(YEAR(МарВс1+38)=Год,MONTH(МарВс1+38)=3),МарВс1+38, "")</f>
        <v/>
      </c>
      <c r="G30" s="19" t="str">
        <f>IF(AND(YEAR(МарВс1+39)=Год,MONTH(МарВс1+39)=3),МарВс1+39, "")</f>
        <v/>
      </c>
      <c r="H30" s="19" t="str">
        <f>IF(AND(YEAR(МарВс1+40)=Год,MONTH(МарВс1+40)=3),МарВс1+40, "")</f>
        <v/>
      </c>
      <c r="I30" s="19" t="str">
        <f>IF(AND(YEAR(МарВс1+41)=Год,MONTH(МарВс1+41)=3),МарВс1+41, "")</f>
        <v/>
      </c>
      <c r="J30" s="2"/>
      <c r="K30" s="19">
        <f>IF(AND(YEAR(ИюнВс1+35)=Год,MONTH(ИюнВс1+35)=6),ИюнВс1+35, "")</f>
        <v>45838</v>
      </c>
      <c r="L30" s="19" t="str">
        <f>IF(AND(YEAR(ИюнВс1+36)=Год,MONTH(ИюнВс1+36)=6),ИюнВс1+36, "")</f>
        <v/>
      </c>
      <c r="M30" s="19" t="str">
        <f>IF(AND(YEAR(ИюнВс1+37)=Год,MONTH(ИюнВс1+37)=6),ИюнВс1+37, "")</f>
        <v/>
      </c>
      <c r="N30" s="19" t="str">
        <f>IF(AND(YEAR(ИюнВс1+38)=Год,MONTH(ИюнВс1+38)=6),ИюнВс1+38, "")</f>
        <v/>
      </c>
      <c r="O30" s="19" t="str">
        <f>IF(AND(YEAR(ИюнВс1+39)=Год,MONTH(ИюнВс1+39)=6),ИюнВс1+39, "")</f>
        <v/>
      </c>
      <c r="P30" s="19" t="str">
        <f>IF(AND(YEAR(ИюнВс1+40)=Год,MONTH(ИюнВс1+40)=6),ИюнВс1+40, "")</f>
        <v/>
      </c>
      <c r="Q30" s="19" t="str">
        <f>IF(AND(YEAR(ИюнВс1+41)=Год,MONTH(ИюнВс1+41)=6),ИюнВс1+41, "")</f>
        <v/>
      </c>
      <c r="R30" s="2"/>
      <c r="S30" s="19" t="str">
        <f>IF(AND(YEAR(СенВс1+35)=Год,MONTH(СенВс1+35)=9),СенВс1+35, "")</f>
        <v/>
      </c>
      <c r="T30" s="19" t="str">
        <f>IF(AND(YEAR(СенВс1+36)=Год,MONTH(СенВс1+36)=9),СенВс1+36, "")</f>
        <v/>
      </c>
      <c r="U30" s="19" t="str">
        <f>IF(AND(YEAR(СенВс1+37)=Год,MONTH(СенВс1+37)=9),СенВс1+37, "")</f>
        <v/>
      </c>
      <c r="V30" s="19" t="str">
        <f>IF(AND(YEAR(СенВс1+38)=Год,MONTH(СенВс1+38)=9),СенВс1+38, "")</f>
        <v/>
      </c>
      <c r="W30" s="19" t="str">
        <f>IF(AND(YEAR(СенВс1+39)=Год,MONTH(СенВс1+39)=9),СенВс1+39, "")</f>
        <v/>
      </c>
      <c r="X30" s="19" t="str">
        <f>IF(AND(YEAR(СенВс1+40)=Год,MONTH(СенВс1+40)=9),СенВс1+40, "")</f>
        <v/>
      </c>
      <c r="Y30" s="19" t="str">
        <f>IF(AND(YEAR(СенВс1+41)=Год,MONTH(СенВс1+41)=9),СенВс1+41, "")</f>
        <v/>
      </c>
      <c r="Z30" s="2"/>
      <c r="AA30" s="19" t="str">
        <f>IF(AND(YEAR(ДекВс1+35)=Год,MONTH(ДекВс1+35)=12),ДекВс1+35, "")</f>
        <v/>
      </c>
      <c r="AB30" s="19" t="str">
        <f>IF(AND(YEAR(ДекВс1+36)=Год,MONTH(ДекВс1+36)=12),ДекВс1+36, "")</f>
        <v/>
      </c>
      <c r="AC30" s="19" t="str">
        <f>IF(AND(YEAR(ДекВс1+37)=Год,MONTH(ДекВс1+37)=12),ДекВс1+37, "")</f>
        <v/>
      </c>
      <c r="AD30" s="19" t="str">
        <f>IF(AND(YEAR(ДекВс1+38)=Год,MONTH(ДекВс1+38)=12),ДекВс1+38, "")</f>
        <v/>
      </c>
      <c r="AE30" s="19" t="str">
        <f>IF(AND(YEAR(ДекВс1+39)=Год,MONTH(ДекВс1+39)=12),ДекВс1+39, "")</f>
        <v/>
      </c>
      <c r="AF30" s="19" t="str">
        <f>IF(AND(YEAR(ДекВс1+40)=Год,MONTH(ДекВс1+40)=12),ДекВс1+40, "")</f>
        <v/>
      </c>
      <c r="AG30" s="19" t="str">
        <f>IF(AND(YEAR(ДекВс1+41)=Год,MONTH(ДекВс1+41)=12),ДекВс1+41, "")</f>
        <v/>
      </c>
      <c r="AH30" s="9"/>
    </row>
    <row r="31" spans="2:34" ht="13.5" customHeight="1" thickBot="1" x14ac:dyDescent="0.25"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2"/>
    </row>
    <row r="32" spans="2:34" ht="13.5" thickTop="1" x14ac:dyDescent="0.2"/>
  </sheetData>
  <mergeCells count="17">
    <mergeCell ref="AM4:AN4"/>
    <mergeCell ref="AM9:AN9"/>
    <mergeCell ref="B2:AH3"/>
    <mergeCell ref="C5:I5"/>
    <mergeCell ref="K5:Q5"/>
    <mergeCell ref="S5:Y5"/>
    <mergeCell ref="AA5:AG5"/>
    <mergeCell ref="AJ9:AK9"/>
    <mergeCell ref="AJ4:AK4"/>
    <mergeCell ref="C23:I23"/>
    <mergeCell ref="K23:Q23"/>
    <mergeCell ref="S23:Y23"/>
    <mergeCell ref="AA23:AG23"/>
    <mergeCell ref="C14:I14"/>
    <mergeCell ref="K14:Q14"/>
    <mergeCell ref="S14:Y14"/>
    <mergeCell ref="AA14:AG14"/>
  </mergeCells>
  <conditionalFormatting sqref="C5:AG30">
    <cfRule type="containsErrors" dxfId="3" priority="1">
      <formula>ISERROR(C5)</formula>
    </cfRule>
    <cfRule type="containsBlanks" dxfId="2" priority="2">
      <formula>LEN(TRIM(C5))=0</formula>
    </cfRule>
  </conditionalFormatting>
  <dataValidations count="1">
    <dataValidation type="whole" allowBlank="1" showInputMessage="1" showErrorMessage="1" errorTitle="Недопустимый год" error="Введите год от 1900 до 9999 или найдите нужный год с помощью полосы прокрутки." sqref="B2:AH3">
      <formula1>1900</formula1>
      <formula2>9999</formula2>
    </dataValidation>
  </dataValidations>
  <printOptions horizontalCentered="1" verticalCentered="1"/>
  <pageMargins left="0.5" right="0.5" top="0.5" bottom="0.5" header="0.3" footer="0.3"/>
  <pageSetup paperSize="9" orientation="landscape" horizontalDpi="300" verticalDpi="300" r:id="rId1"/>
  <drawing r:id="rId2"/>
  <legacyDrawing r:id="rId3"/>
  <controls>
    <mc:AlternateContent xmlns:mc="http://schemas.openxmlformats.org/markup-compatibility/2006">
      <mc:Choice Requires="x14">
        <control shapeId="4097" r:id="rId4" name="ПолосаПрокрутки1">
          <controlPr print="0" autoFill="0" autoLine="0" altText="" linkedCell="B2" r:id="rId5">
            <anchor>
              <from>
                <xdr:col>1</xdr:col>
                <xdr:colOff>19050</xdr:colOff>
                <xdr:row>0</xdr:row>
                <xdr:rowOff>66675</xdr:rowOff>
              </from>
              <to>
                <xdr:col>7</xdr:col>
                <xdr:colOff>85725</xdr:colOff>
                <xdr:row>0</xdr:row>
                <xdr:rowOff>238125</xdr:rowOff>
              </to>
            </anchor>
          </controlPr>
        </control>
      </mc:Choice>
      <mc:Fallback>
        <control shapeId="4097" r:id="rId4" name="ПолосаПрокрутки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B1:AN32"/>
  <sheetViews>
    <sheetView showGridLines="0" tabSelected="1" zoomScale="70" zoomScaleNormal="70" workbookViewId="0">
      <selection activeCell="AL26" sqref="AL26"/>
    </sheetView>
  </sheetViews>
  <sheetFormatPr defaultColWidth="9.140625" defaultRowHeight="12.75" x14ac:dyDescent="0.2"/>
  <cols>
    <col min="1" max="5" width="3.28515625" style="13" customWidth="1"/>
    <col min="6" max="6" width="3.42578125" style="13" customWidth="1"/>
    <col min="7" max="17" width="3" style="13" customWidth="1"/>
    <col min="18" max="18" width="3.140625" style="13" customWidth="1"/>
    <col min="19" max="25" width="3" style="13" customWidth="1"/>
    <col min="26" max="26" width="2.7109375" style="13" customWidth="1"/>
    <col min="27" max="33" width="3" style="13" customWidth="1"/>
    <col min="34" max="34" width="3.28515625" style="13" customWidth="1"/>
    <col min="35" max="35" width="9.85546875" style="13" customWidth="1"/>
    <col min="36" max="36" width="10.7109375" style="13" bestFit="1" customWidth="1"/>
    <col min="37" max="37" width="20.28515625" style="13" customWidth="1"/>
    <col min="38" max="38" width="9.140625" style="13"/>
    <col min="39" max="39" width="22.140625" style="13" customWidth="1"/>
    <col min="40" max="40" width="17.42578125" style="13" customWidth="1"/>
    <col min="41" max="16384" width="9.140625" style="13"/>
  </cols>
  <sheetData>
    <row r="1" spans="2:40" ht="24" customHeight="1" x14ac:dyDescent="0.2">
      <c r="I1" s="14" t="s">
        <v>10</v>
      </c>
    </row>
    <row r="2" spans="2:40" ht="27" customHeight="1" x14ac:dyDescent="0.2">
      <c r="B2" s="32">
        <v>2026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2:40" ht="13.5" thickBot="1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</row>
    <row r="4" spans="2:40" ht="14.25" customHeight="1" thickTop="1" x14ac:dyDescent="0.2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  <c r="AJ4" s="30" t="s">
        <v>23</v>
      </c>
      <c r="AK4" s="30"/>
      <c r="AM4" s="23" t="s">
        <v>26</v>
      </c>
      <c r="AN4" s="23"/>
    </row>
    <row r="5" spans="2:40" ht="15" x14ac:dyDescent="0.2">
      <c r="B5" s="8"/>
      <c r="C5" s="31" t="s">
        <v>0</v>
      </c>
      <c r="D5" s="31"/>
      <c r="E5" s="31"/>
      <c r="F5" s="31"/>
      <c r="G5" s="31"/>
      <c r="H5" s="31"/>
      <c r="I5" s="31"/>
      <c r="J5" s="1"/>
      <c r="K5" s="31" t="s">
        <v>11</v>
      </c>
      <c r="L5" s="31"/>
      <c r="M5" s="31"/>
      <c r="N5" s="31"/>
      <c r="O5" s="31"/>
      <c r="P5" s="31"/>
      <c r="Q5" s="31"/>
      <c r="R5" s="1"/>
      <c r="S5" s="31" t="s">
        <v>14</v>
      </c>
      <c r="T5" s="31"/>
      <c r="U5" s="31"/>
      <c r="V5" s="31"/>
      <c r="W5" s="31"/>
      <c r="X5" s="31"/>
      <c r="Y5" s="31"/>
      <c r="Z5" s="1"/>
      <c r="AA5" s="31" t="s">
        <v>17</v>
      </c>
      <c r="AB5" s="31"/>
      <c r="AC5" s="31"/>
      <c r="AD5" s="31"/>
      <c r="AE5" s="31"/>
      <c r="AF5" s="31"/>
      <c r="AG5" s="31"/>
      <c r="AH5" s="9"/>
      <c r="AJ5" s="20" t="s">
        <v>20</v>
      </c>
      <c r="AK5" s="22"/>
      <c r="AM5" s="20" t="s">
        <v>20</v>
      </c>
      <c r="AN5" s="21"/>
    </row>
    <row r="6" spans="2:40" ht="15" x14ac:dyDescent="0.2">
      <c r="B6" s="8"/>
      <c r="C6" s="3" t="s">
        <v>1</v>
      </c>
      <c r="D6" s="3" t="s">
        <v>4</v>
      </c>
      <c r="E6" s="3" t="s">
        <v>6</v>
      </c>
      <c r="F6" s="3" t="s">
        <v>5</v>
      </c>
      <c r="G6" s="3" t="s">
        <v>7</v>
      </c>
      <c r="H6" s="4" t="s">
        <v>8</v>
      </c>
      <c r="I6" s="4" t="s">
        <v>9</v>
      </c>
      <c r="J6" s="1"/>
      <c r="K6" s="3" t="s">
        <v>1</v>
      </c>
      <c r="L6" s="3" t="s">
        <v>4</v>
      </c>
      <c r="M6" s="3" t="s">
        <v>6</v>
      </c>
      <c r="N6" s="3" t="s">
        <v>5</v>
      </c>
      <c r="O6" s="3" t="s">
        <v>7</v>
      </c>
      <c r="P6" s="4" t="s">
        <v>8</v>
      </c>
      <c r="Q6" s="4" t="s">
        <v>9</v>
      </c>
      <c r="R6" s="1"/>
      <c r="S6" s="3" t="s">
        <v>1</v>
      </c>
      <c r="T6" s="3" t="s">
        <v>4</v>
      </c>
      <c r="U6" s="3" t="s">
        <v>6</v>
      </c>
      <c r="V6" s="3" t="s">
        <v>5</v>
      </c>
      <c r="W6" s="3" t="s">
        <v>7</v>
      </c>
      <c r="X6" s="4" t="s">
        <v>8</v>
      </c>
      <c r="Y6" s="4" t="s">
        <v>9</v>
      </c>
      <c r="Z6" s="1"/>
      <c r="AA6" s="3" t="s">
        <v>1</v>
      </c>
      <c r="AB6" s="3" t="s">
        <v>4</v>
      </c>
      <c r="AC6" s="3" t="s">
        <v>6</v>
      </c>
      <c r="AD6" s="3" t="s">
        <v>5</v>
      </c>
      <c r="AE6" s="3" t="s">
        <v>7</v>
      </c>
      <c r="AF6" s="4" t="s">
        <v>8</v>
      </c>
      <c r="AG6" s="4" t="s">
        <v>9</v>
      </c>
      <c r="AH6" s="9"/>
      <c r="AJ6" s="20" t="s">
        <v>21</v>
      </c>
      <c r="AK6" s="22"/>
      <c r="AM6" s="20" t="s">
        <v>25</v>
      </c>
      <c r="AN6" s="21"/>
    </row>
    <row r="7" spans="2:40" ht="15" x14ac:dyDescent="0.2">
      <c r="B7" s="8"/>
      <c r="C7" s="18" t="str">
        <f>IF(AND(YEAR(ЯнвВс1)=Год,MONTH(ЯнвВс1)=1),ЯнвВс1, "")</f>
        <v/>
      </c>
      <c r="D7" s="18" t="str">
        <f>IF(AND(YEAR(ЯнвВс1+1)=Год,MONTH(ЯнвВс1+1)=1),ЯнвВс1+1, "")</f>
        <v/>
      </c>
      <c r="E7" s="18" t="str">
        <f>IF(AND(YEAR(ЯнвВс1+2)=Год,MONTH(ЯнвВс1+2)=1),ЯнвВс1+2, "")</f>
        <v/>
      </c>
      <c r="F7" s="25">
        <f>IF(AND(YEAR(ЯнвВс1+3)=Год,MONTH(ЯнвВс1+3)=1),ЯнвВс1+3, "")</f>
        <v>46023</v>
      </c>
      <c r="G7" s="25">
        <f>IF(AND(YEAR(ЯнвВс1+4)=Год,MONTH(ЯнвВс1+4)=1),ЯнвВс1+4, "")</f>
        <v>46024</v>
      </c>
      <c r="H7" s="25">
        <f>IF(AND(YEAR(ЯнвВс1+5)=Год,MONTH(ЯнвВс1+5)=1),ЯнвВс1+5, "")</f>
        <v>46025</v>
      </c>
      <c r="I7" s="25">
        <f>IF(AND(YEAR(ЯнвВс1+6)=Год,MONTH(ЯнвВс1+6)=1),ЯнвВс1+6, "")</f>
        <v>46026</v>
      </c>
      <c r="J7" s="1"/>
      <c r="K7" s="18" t="str">
        <f>IF(AND(YEAR(АпрВс1)=Год,MONTH(АпрВс1)=4),АпрВс1, "")</f>
        <v/>
      </c>
      <c r="L7" s="18" t="str">
        <f>IF(AND(YEAR(АпрВс1+1)=Год,MONTH(АпрВс1+1)=4),АпрВс1+1, "")</f>
        <v/>
      </c>
      <c r="M7" s="18">
        <f>IF(AND(YEAR(АпрВс1+2)=Год,MONTH(АпрВс1+2)=4),АпрВс1+2, "")</f>
        <v>46113</v>
      </c>
      <c r="N7" s="18">
        <f>IF(AND(YEAR(АпрВс1+3)=Год,MONTH(АпрВс1+3)=4),АпрВс1+3, "")</f>
        <v>46114</v>
      </c>
      <c r="O7" s="18">
        <f>IF(AND(YEAR(АпрВс1+4)=Год,MONTH(АпрВс1+4)=4),АпрВс1+4, "")</f>
        <v>46115</v>
      </c>
      <c r="P7" s="25">
        <f>IF(AND(YEAR(АпрВс1+5)=Год,MONTH(АпрВс1+5)=4),АпрВс1+5, "")</f>
        <v>46116</v>
      </c>
      <c r="Q7" s="25">
        <f>IF(AND(YEAR(АпрВс1+6)=Год,MONTH(АпрВс1+6)=4),АпрВс1+6, "")</f>
        <v>46117</v>
      </c>
      <c r="R7" s="1"/>
      <c r="S7" s="28" t="str">
        <f>IF(AND(YEAR(ИюлВс1)=Год,MONTH(ИюлВс1)=7),ИюлВс1, "")</f>
        <v/>
      </c>
      <c r="T7" s="28" t="str">
        <f>IF(AND(YEAR(ИюлВс1+1)=Год,MONTH(ИюлВс1+1)=7),ИюлВс1+1, "")</f>
        <v/>
      </c>
      <c r="U7" s="28">
        <f>IF(AND(YEAR(ИюлВс1+2)=Год,MONTH(ИюлВс1+2)=7),ИюлВс1+2, "")</f>
        <v>46204</v>
      </c>
      <c r="V7" s="28">
        <f>IF(AND(YEAR(ИюлВс1+3)=Год,MONTH(ИюлВс1+3)=7),ИюлВс1+3, "")</f>
        <v>46205</v>
      </c>
      <c r="W7" s="28">
        <f>IF(AND(YEAR(ИюлВс1+4)=Год,MONTH(ИюлВс1+4)=7),ИюлВс1+4, "")</f>
        <v>46206</v>
      </c>
      <c r="X7" s="25">
        <f>IF(AND(YEAR(ИюлВс1+5)=Год,MONTH(ИюлВс1+5)=7),ИюлВс1+5, "")</f>
        <v>46207</v>
      </c>
      <c r="Y7" s="25">
        <f>IF(AND(YEAR(ИюлВс1+6)=Год,MONTH(ИюлВс1+6)=7),ИюлВс1+6, "")</f>
        <v>46208</v>
      </c>
      <c r="Z7" s="1"/>
      <c r="AA7" s="18" t="str">
        <f>IF(AND(YEAR(ОктВс1)=Год,MONTH(ОктВс1)=10),ОктВс1, "")</f>
        <v/>
      </c>
      <c r="AB7" s="18" t="str">
        <f>IF(AND(YEAR(ОктВс1+1)=Год,MONTH(ОктВс1+1)=10),ОктВс1+1, "")</f>
        <v/>
      </c>
      <c r="AC7" s="18" t="str">
        <f>IF(AND(YEAR(ОктВс1+2)=Год,MONTH(ОктВс1+2)=10),ОктВс1+2, "")</f>
        <v/>
      </c>
      <c r="AD7" s="18">
        <f>IF(AND(YEAR(ОктВс1+3)=Год,MONTH(ОктВс1+3)=10),ОктВс1+3, "")</f>
        <v>46296</v>
      </c>
      <c r="AE7" s="18">
        <f>IF(AND(YEAR(ОктВс1+4)=Год,MONTH(ОктВс1+4)=10),ОктВс1+4, "")</f>
        <v>46297</v>
      </c>
      <c r="AF7" s="25">
        <f>IF(AND(YEAR(ОктВс1+5)=Год,MONTH(ОктВс1+5)=10),ОктВс1+5, "")</f>
        <v>46298</v>
      </c>
      <c r="AG7" s="25">
        <f>IF(AND(YEAR(ОктВс1+6)=Год,MONTH(ОктВс1+6)=10),ОктВс1+6, "")</f>
        <v>46299</v>
      </c>
      <c r="AH7" s="9"/>
      <c r="AJ7" s="20" t="s">
        <v>22</v>
      </c>
      <c r="AK7" s="21"/>
      <c r="AM7" s="20" t="s">
        <v>21</v>
      </c>
      <c r="AN7" s="21"/>
    </row>
    <row r="8" spans="2:40" ht="15" x14ac:dyDescent="0.2">
      <c r="B8" s="8"/>
      <c r="C8" s="24">
        <f>IF(AND(YEAR(ЯнвВс1+7)=Год,MONTH(ЯнвВс1+7)=1),ЯнвВс1+7, "")</f>
        <v>46027</v>
      </c>
      <c r="D8" s="24">
        <f>IF(AND(YEAR(ЯнвВс1+8)=Год,MONTH(ЯнвВс1+8)=1),ЯнвВс1+8, "")</f>
        <v>46028</v>
      </c>
      <c r="E8" s="24">
        <f>IF(AND(YEAR(ЯнвВс1+9)=Год,MONTH(ЯнвВс1+9)=1),ЯнвВс1+9, "")</f>
        <v>46029</v>
      </c>
      <c r="F8" s="24">
        <f>IF(AND(YEAR(ЯнвВс1+10)=Год,MONTH(ЯнвВс1+10)=1),ЯнвВс1+10, "")</f>
        <v>46030</v>
      </c>
      <c r="G8" s="24">
        <f>IF(AND(YEAR(ЯнвВс1+11)=Год,MONTH(ЯнвВс1+11)=1),ЯнвВс1+11, "")</f>
        <v>46031</v>
      </c>
      <c r="H8" s="24">
        <f>IF(AND(YEAR(ЯнвВс1+12)=Год,MONTH(ЯнвВс1+12)=1),ЯнвВс1+12, "")</f>
        <v>46032</v>
      </c>
      <c r="I8" s="24">
        <f>IF(AND(YEAR(ЯнвВс1+13)=Год,MONTH(ЯнвВс1+13)=1),ЯнвВс1+13, "")</f>
        <v>46033</v>
      </c>
      <c r="J8" s="1"/>
      <c r="K8" s="19">
        <f>IF(AND(YEAR(АпрВс1+7)=Год,MONTH(АпрВс1+7)=4),АпрВс1+7, "")</f>
        <v>46118</v>
      </c>
      <c r="L8" s="19">
        <f>IF(AND(YEAR(АпрВс1+8)=Год,MONTH(АпрВс1+8)=4),АпрВс1+8, "")</f>
        <v>46119</v>
      </c>
      <c r="M8" s="19">
        <f>IF(AND(YEAR(АпрВс1+9)=Год,MONTH(АпрВс1+9)=4),АпрВс1+9, "")</f>
        <v>46120</v>
      </c>
      <c r="N8" s="19">
        <f>IF(AND(YEAR(АпрВс1+10)=Год,MONTH(АпрВс1+10)=4),АпрВс1+10, "")</f>
        <v>46121</v>
      </c>
      <c r="O8" s="19">
        <f>IF(AND(YEAR(АпрВс1+11)=Год,MONTH(АпрВс1+11)=4),АпрВс1+11, "")</f>
        <v>46122</v>
      </c>
      <c r="P8" s="24">
        <f>IF(AND(YEAR(АпрВс1+12)=Год,MONTH(АпрВс1+12)=4),АпрВс1+12, "")</f>
        <v>46123</v>
      </c>
      <c r="Q8" s="24">
        <f>IF(AND(YEAR(АпрВс1+13)=Год,MONTH(АпрВс1+13)=4),АпрВс1+13, "")</f>
        <v>46124</v>
      </c>
      <c r="R8" s="1"/>
      <c r="S8" s="26">
        <f>IF(AND(YEAR(ИюлВс1+7)=Год,MONTH(ИюлВс1+7)=7),ИюлВс1+7, "")</f>
        <v>46209</v>
      </c>
      <c r="T8" s="26">
        <f>IF(AND(YEAR(ИюлВс1+8)=Год,MONTH(ИюлВс1+8)=7),ИюлВс1+8, "")</f>
        <v>46210</v>
      </c>
      <c r="U8" s="26">
        <f>IF(AND(YEAR(ИюлВс1+9)=Год,MONTH(ИюлВс1+9)=7),ИюлВс1+9, "")</f>
        <v>46211</v>
      </c>
      <c r="V8" s="26">
        <f>IF(AND(YEAR(ИюлВс1+10)=Год,MONTH(ИюлВс1+10)=7),ИюлВс1+10, "")</f>
        <v>46212</v>
      </c>
      <c r="W8" s="26">
        <f>IF(AND(YEAR(ИюлВс1+11)=Год,MONTH(ИюлВс1+11)=7),ИюлВс1+11, "")</f>
        <v>46213</v>
      </c>
      <c r="X8" s="24">
        <f>IF(AND(YEAR(ИюлВс1+12)=Год,MONTH(ИюлВс1+12)=7),ИюлВс1+12, "")</f>
        <v>46214</v>
      </c>
      <c r="Y8" s="24">
        <f>IF(AND(YEAR(ИюлВс1+13)=Год,MONTH(ИюлВс1+13)=7),ИюлВс1+13, "")</f>
        <v>46215</v>
      </c>
      <c r="Z8" s="1"/>
      <c r="AA8" s="19">
        <f>IF(AND(YEAR(ОктВс1+7)=Год,MONTH(ОктВс1+7)=10),ОктВс1+7, "")</f>
        <v>46300</v>
      </c>
      <c r="AB8" s="19">
        <f>IF(AND(YEAR(ОктВс1+8)=Год,MONTH(ОктВс1+8)=10),ОктВс1+8, "")</f>
        <v>46301</v>
      </c>
      <c r="AC8" s="19">
        <f>IF(AND(YEAR(ОктВс1+9)=Год,MONTH(ОктВс1+9)=10),ОктВс1+9, "")</f>
        <v>46302</v>
      </c>
      <c r="AD8" s="19">
        <f>IF(AND(YEAR(ОктВс1+10)=Год,MONTH(ОктВс1+10)=10),ОктВс1+10, "")</f>
        <v>46303</v>
      </c>
      <c r="AE8" s="19">
        <f>IF(AND(YEAR(ОктВс1+11)=Год,MONTH(ОктВс1+11)=10),ОктВс1+11, "")</f>
        <v>46304</v>
      </c>
      <c r="AF8" s="24">
        <f>IF(AND(YEAR(ОктВс1+12)=Год,MONTH(ОктВс1+12)=10),ОктВс1+12, "")</f>
        <v>46305</v>
      </c>
      <c r="AG8" s="24">
        <f>IF(AND(YEAR(ОктВс1+13)=Год,MONTH(ОктВс1+13)=10),ОктВс1+13, "")</f>
        <v>46306</v>
      </c>
      <c r="AH8" s="9"/>
      <c r="AM8" s="20"/>
      <c r="AN8" s="20"/>
    </row>
    <row r="9" spans="2:40" ht="15" x14ac:dyDescent="0.2">
      <c r="B9" s="8"/>
      <c r="C9" s="19">
        <f>IF(AND(YEAR(ЯнвВс1+14)=Год,MONTH(ЯнвВс1+14)=1),ЯнвВс1+14, "")</f>
        <v>46034</v>
      </c>
      <c r="D9" s="19">
        <f>IF(AND(YEAR(ЯнвВс1+15)=Год,MONTH(ЯнвВс1+15)=1),ЯнвВс1+15, "")</f>
        <v>46035</v>
      </c>
      <c r="E9" s="19">
        <f>IF(AND(YEAR(ЯнвВс1+16)=Год,MONTH(ЯнвВс1+16)=1),ЯнвВс1+16, "")</f>
        <v>46036</v>
      </c>
      <c r="F9" s="19">
        <f>IF(AND(YEAR(ЯнвВс1+17)=Год,MONTH(ЯнвВс1+17)=1),ЯнвВс1+17, "")</f>
        <v>46037</v>
      </c>
      <c r="G9" s="19">
        <f>IF(AND(YEAR(ЯнвВс1+18)=Год,MONTH(ЯнвВс1+18)=1),ЯнвВс1+18, "")</f>
        <v>46038</v>
      </c>
      <c r="H9" s="24">
        <f>IF(AND(YEAR(ЯнвВс1+19)=Год,MONTH(ЯнвВс1+19)=1),ЯнвВс1+19, "")</f>
        <v>46039</v>
      </c>
      <c r="I9" s="24">
        <f>IF(AND(YEAR(ЯнвВс1+20)=Год,MONTH(ЯнвВс1+20)=1),ЯнвВс1+20, "")</f>
        <v>46040</v>
      </c>
      <c r="J9" s="1"/>
      <c r="K9" s="19">
        <f>IF(AND(YEAR(АпрВс1+14)=Год,MONTH(АпрВс1+14)=4),АпрВс1+14, "")</f>
        <v>46125</v>
      </c>
      <c r="L9" s="19">
        <f>IF(AND(YEAR(АпрВс1+15)=Год,MONTH(АпрВс1+15)=4),АпрВс1+15, "")</f>
        <v>46126</v>
      </c>
      <c r="M9" s="19">
        <f>IF(AND(YEAR(АпрВс1+16)=Год,MONTH(АпрВс1+16)=4),АпрВс1+16, "")</f>
        <v>46127</v>
      </c>
      <c r="N9" s="19">
        <f>IF(AND(YEAR(АпрВс1+17)=Год,MONTH(АпрВс1+17)=4),АпрВс1+17, "")</f>
        <v>46128</v>
      </c>
      <c r="O9" s="19">
        <f>IF(AND(YEAR(АпрВс1+18)=Год,MONTH(АпрВс1+18)=4),АпрВс1+18, "")</f>
        <v>46129</v>
      </c>
      <c r="P9" s="24">
        <f>IF(AND(YEAR(АпрВс1+19)=Год,MONTH(АпрВс1+19)=4),АпрВс1+19, "")</f>
        <v>46130</v>
      </c>
      <c r="Q9" s="24">
        <f>IF(AND(YEAR(АпрВс1+20)=Год,MONTH(АпрВс1+20)=4),АпрВс1+20, "")</f>
        <v>46131</v>
      </c>
      <c r="R9" s="1"/>
      <c r="S9" s="26">
        <f>IF(AND(YEAR(ИюлВс1+14)=Год,MONTH(ИюлВс1+14)=7),ИюлВс1+14, "")</f>
        <v>46216</v>
      </c>
      <c r="T9" s="26">
        <f>IF(AND(YEAR(ИюлВс1+15)=Год,MONTH(ИюлВс1+15)=7),ИюлВс1+15, "")</f>
        <v>46217</v>
      </c>
      <c r="U9" s="26">
        <f>IF(AND(YEAR(ИюлВс1+16)=Год,MONTH(ИюлВс1+16)=7),ИюлВс1+16, "")</f>
        <v>46218</v>
      </c>
      <c r="V9" s="26">
        <f>IF(AND(YEAR(ИюлВс1+17)=Год,MONTH(ИюлВс1+17)=7),ИюлВс1+17, "")</f>
        <v>46219</v>
      </c>
      <c r="W9" s="26">
        <f>IF(AND(YEAR(ИюлВс1+18)=Год,MONTH(ИюлВс1+18)=7),ИюлВс1+18, "")</f>
        <v>46220</v>
      </c>
      <c r="X9" s="24">
        <f>IF(AND(YEAR(ИюлВс1+19)=Год,MONTH(ИюлВс1+19)=7),ИюлВс1+19, "")</f>
        <v>46221</v>
      </c>
      <c r="Y9" s="24">
        <f>IF(AND(YEAR(ИюлВс1+20)=Год,MONTH(ИюлВс1+20)=7),ИюлВс1+20, "")</f>
        <v>46222</v>
      </c>
      <c r="Z9" s="1"/>
      <c r="AA9" s="19">
        <f>IF(AND(YEAR(ОктВс1+14)=Год,MONTH(ОктВс1+14)=10),ОктВс1+14, "")</f>
        <v>46307</v>
      </c>
      <c r="AB9" s="19">
        <f>IF(AND(YEAR(ОктВс1+15)=Год,MONTH(ОктВс1+15)=10),ОктВс1+15, "")</f>
        <v>46308</v>
      </c>
      <c r="AC9" s="19">
        <f>IF(AND(YEAR(ОктВс1+16)=Год,MONTH(ОктВс1+16)=10),ОктВс1+16, "")</f>
        <v>46309</v>
      </c>
      <c r="AD9" s="19">
        <f>IF(AND(YEAR(ОктВс1+17)=Год,MONTH(ОктВс1+17)=10),ОктВс1+17, "")</f>
        <v>46310</v>
      </c>
      <c r="AE9" s="19">
        <f>IF(AND(YEAR(ОктВс1+18)=Год,MONTH(ОктВс1+18)=10),ОктВс1+18, "")</f>
        <v>46311</v>
      </c>
      <c r="AF9" s="24">
        <f>IF(AND(YEAR(ОктВс1+19)=Год,MONTH(ОктВс1+19)=10),ОктВс1+19, "")</f>
        <v>46312</v>
      </c>
      <c r="AG9" s="24">
        <f>IF(AND(YEAR(ОктВс1+20)=Год,MONTH(ОктВс1+20)=10),ОктВс1+20, "")</f>
        <v>46313</v>
      </c>
      <c r="AH9" s="9"/>
      <c r="AJ9" s="30" t="s">
        <v>24</v>
      </c>
      <c r="AK9" s="30"/>
      <c r="AM9" s="23" t="s">
        <v>27</v>
      </c>
      <c r="AN9" s="23"/>
    </row>
    <row r="10" spans="2:40" ht="15" x14ac:dyDescent="0.2">
      <c r="B10" s="8"/>
      <c r="C10" s="19">
        <f>IF(AND(YEAR(ЯнвВс1+21)=Год,MONTH(ЯнвВс1+21)=1),ЯнвВс1+21, "")</f>
        <v>46041</v>
      </c>
      <c r="D10" s="19">
        <f>IF(AND(YEAR(ЯнвВс1+22)=Год,MONTH(ЯнвВс1+22)=1),ЯнвВс1+22, "")</f>
        <v>46042</v>
      </c>
      <c r="E10" s="19">
        <f>IF(AND(YEAR(ЯнвВс1+23)=Год,MONTH(ЯнвВс1+23)=1),ЯнвВс1+23, "")</f>
        <v>46043</v>
      </c>
      <c r="F10" s="19">
        <f>IF(AND(YEAR(ЯнвВс1+24)=Год,MONTH(ЯнвВс1+24)=1),ЯнвВс1+24, "")</f>
        <v>46044</v>
      </c>
      <c r="G10" s="19">
        <f>IF(AND(YEAR(ЯнвВс1+25)=Год,MONTH(ЯнвВс1+25)=1),ЯнвВс1+25, "")</f>
        <v>46045</v>
      </c>
      <c r="H10" s="24">
        <f>IF(AND(YEAR(ЯнвВс1+26)=Год,MONTH(ЯнвВс1+26)=1),ЯнвВс1+26, "")</f>
        <v>46046</v>
      </c>
      <c r="I10" s="24">
        <f>IF(AND(YEAR(ЯнвВс1+27)=Год,MONTH(ЯнвВс1+27)=1),ЯнвВс1+27, "")</f>
        <v>46047</v>
      </c>
      <c r="J10" s="1"/>
      <c r="K10" s="19">
        <f>IF(AND(YEAR(АпрВс1+21)=Год,MONTH(АпрВс1+21)=4),АпрВс1+21, "")</f>
        <v>46132</v>
      </c>
      <c r="L10" s="24">
        <f>IF(AND(YEAR(АпрВс1+22)=Год,MONTH(АпрВс1+22)=4),АпрВс1+22, "")</f>
        <v>46133</v>
      </c>
      <c r="M10" s="19">
        <f>IF(AND(YEAR(АпрВс1+23)=Год,MONTH(АпрВс1+23)=4),АпрВс1+23, "")</f>
        <v>46134</v>
      </c>
      <c r="N10" s="19">
        <f>IF(AND(YEAR(АпрВс1+24)=Год,MONTH(АпрВс1+24)=4),АпрВс1+24, "")</f>
        <v>46135</v>
      </c>
      <c r="O10" s="19">
        <f>IF(AND(YEAR(АпрВс1+25)=Год,MONTH(АпрВс1+25)=4),АпрВс1+25, "")</f>
        <v>46136</v>
      </c>
      <c r="P10" s="24">
        <f>IF(AND(YEAR(АпрВс1+26)=Год,MONTH(АпрВс1+26)=4),АпрВс1+26, "")</f>
        <v>46137</v>
      </c>
      <c r="Q10" s="24">
        <f>IF(AND(YEAR(АпрВс1+27)=Год,MONTH(АпрВс1+27)=4),АпрВс1+27, "")</f>
        <v>46138</v>
      </c>
      <c r="R10" s="1"/>
      <c r="S10" s="26">
        <f>IF(AND(YEAR(ИюлВс1+21)=Год,MONTH(ИюлВс1+21)=7),ИюлВс1+21, "")</f>
        <v>46223</v>
      </c>
      <c r="T10" s="26">
        <f>IF(AND(YEAR(ИюлВс1+22)=Год,MONTH(ИюлВс1+22)=7),ИюлВс1+22, "")</f>
        <v>46224</v>
      </c>
      <c r="U10" s="26">
        <f>IF(AND(YEAR(ИюлВс1+23)=Год,MONTH(ИюлВс1+23)=7),ИюлВс1+23, "")</f>
        <v>46225</v>
      </c>
      <c r="V10" s="26">
        <f>IF(AND(YEAR(ИюлВс1+24)=Год,MONTH(ИюлВс1+24)=7),ИюлВс1+24, "")</f>
        <v>46226</v>
      </c>
      <c r="W10" s="26">
        <f>IF(AND(YEAR(ИюлВс1+25)=Год,MONTH(ИюлВс1+25)=7),ИюлВс1+25, "")</f>
        <v>46227</v>
      </c>
      <c r="X10" s="24">
        <f>IF(AND(YEAR(ИюлВс1+26)=Год,MONTH(ИюлВс1+26)=7),ИюлВс1+26, "")</f>
        <v>46228</v>
      </c>
      <c r="Y10" s="24">
        <f>IF(AND(YEAR(ИюлВс1+27)=Год,MONTH(ИюлВс1+27)=7),ИюлВс1+27, "")</f>
        <v>46229</v>
      </c>
      <c r="Z10" s="1"/>
      <c r="AA10" s="19">
        <f>IF(AND(YEAR(ОктВс1+21)=Год,MONTH(ОктВс1+21)=10),ОктВс1+21, "")</f>
        <v>46314</v>
      </c>
      <c r="AB10" s="19">
        <f>IF(AND(YEAR(ОктВс1+22)=Год,MONTH(ОктВс1+22)=10),ОктВс1+22, "")</f>
        <v>46315</v>
      </c>
      <c r="AC10" s="19">
        <f>IF(AND(YEAR(ОктВс1+23)=Год,MONTH(ОктВс1+23)=10),ОктВс1+23, "")</f>
        <v>46316</v>
      </c>
      <c r="AD10" s="19">
        <f>IF(AND(YEAR(ОктВс1+24)=Год,MONTH(ОктВс1+24)=10),ОктВс1+24, "")</f>
        <v>46317</v>
      </c>
      <c r="AE10" s="19">
        <f>IF(AND(YEAR(ОктВс1+25)=Год,MONTH(ОктВс1+25)=10),ОктВс1+25, "")</f>
        <v>46318</v>
      </c>
      <c r="AF10" s="24">
        <f>IF(AND(YEAR(ОктВс1+26)=Год,MONTH(ОктВс1+26)=10),ОктВс1+26, "")</f>
        <v>46319</v>
      </c>
      <c r="AG10" s="24">
        <f>IF(AND(YEAR(ОктВс1+27)=Год,MONTH(ОктВс1+27)=10),ОктВс1+27, "")</f>
        <v>46320</v>
      </c>
      <c r="AH10" s="9"/>
      <c r="AJ10" s="20" t="s">
        <v>20</v>
      </c>
      <c r="AK10" s="22"/>
      <c r="AM10" s="20" t="s">
        <v>20</v>
      </c>
      <c r="AN10" s="21"/>
    </row>
    <row r="11" spans="2:40" ht="15" x14ac:dyDescent="0.2">
      <c r="B11" s="8"/>
      <c r="C11" s="19">
        <f>IF(AND(YEAR(ЯнвВс1+28)=Год,MONTH(ЯнвВс1+28)=1),ЯнвВс1+28, "")</f>
        <v>46048</v>
      </c>
      <c r="D11" s="19">
        <f>IF(AND(YEAR(ЯнвВс1+29)=Год,MONTH(ЯнвВс1+29)=1),ЯнвВс1+29, "")</f>
        <v>46049</v>
      </c>
      <c r="E11" s="19">
        <f>IF(AND(YEAR(ЯнвВс1+30)=Год,MONTH(ЯнвВс1+30)=1),ЯнвВс1+30, "")</f>
        <v>46050</v>
      </c>
      <c r="F11" s="19">
        <f>IF(AND(YEAR(ЯнвВс1+31)=Год,MONTH(ЯнвВс1+31)=1),ЯнвВс1+31, "")</f>
        <v>46051</v>
      </c>
      <c r="G11" s="19">
        <f>IF(AND(YEAR(ЯнвВс1+32)=Год,MONTH(ЯнвВс1+32)=1),ЯнвВс1+32, "")</f>
        <v>46052</v>
      </c>
      <c r="H11" s="24">
        <f>IF(AND(YEAR(ЯнвВс1+33)=Год,MONTH(ЯнвВс1+33)=1),ЯнвВс1+33, "")</f>
        <v>46053</v>
      </c>
      <c r="I11" s="19" t="str">
        <f>IF(AND(YEAR(ЯнвВс1+34)=Год,MONTH(ЯнвВс1+34)=1),ЯнвВс1+34, "")</f>
        <v/>
      </c>
      <c r="J11" s="1"/>
      <c r="K11" s="19">
        <f>IF(AND(YEAR(АпрВс1+28)=Год,MONTH(АпрВс1+28)=4),АпрВс1+28, "")</f>
        <v>46139</v>
      </c>
      <c r="L11" s="19">
        <f>IF(AND(YEAR(АпрВс1+29)=Год,MONTH(АпрВс1+29)=4),АпрВс1+29, "")</f>
        <v>46140</v>
      </c>
      <c r="M11" s="19">
        <f>IF(AND(YEAR(АпрВс1+30)=Год,MONTH(АпрВс1+30)=4),АпрВс1+30, "")</f>
        <v>46141</v>
      </c>
      <c r="N11" s="19">
        <f>IF(AND(YEAR(АпрВс1+31)=Год,MONTH(АпрВс1+31)=4),АпрВс1+31, "")</f>
        <v>46142</v>
      </c>
      <c r="O11" s="19" t="str">
        <f>IF(AND(YEAR(АпрВс1+32)=Год,MONTH(АпрВс1+32)=4),АпрВс1+32, "")</f>
        <v/>
      </c>
      <c r="P11" s="19" t="str">
        <f>IF(AND(YEAR(АпрВс1+33)=Год,MONTH(АпрВс1+33)=4),АпрВс1+33, "")</f>
        <v/>
      </c>
      <c r="Q11" s="19" t="str">
        <f>IF(AND(YEAR(АпрВс1+34)=Год,MONTH(АпрВс1+34)=4),АпрВс1+34, "")</f>
        <v/>
      </c>
      <c r="R11" s="1"/>
      <c r="S11" s="19">
        <f>IF(AND(YEAR(ИюлВс1+28)=Год,MONTH(ИюлВс1+28)=7),ИюлВс1+28, "")</f>
        <v>46230</v>
      </c>
      <c r="T11" s="19">
        <f>IF(AND(YEAR(ИюлВс1+29)=Год,MONTH(ИюлВс1+29)=7),ИюлВс1+29, "")</f>
        <v>46231</v>
      </c>
      <c r="U11" s="19">
        <f>IF(AND(YEAR(ИюлВс1+30)=Год,MONTH(ИюлВс1+30)=7),ИюлВс1+30, "")</f>
        <v>46232</v>
      </c>
      <c r="V11" s="19">
        <f>IF(AND(YEAR(ИюлВс1+31)=Год,MONTH(ИюлВс1+31)=7),ИюлВс1+31, "")</f>
        <v>46233</v>
      </c>
      <c r="W11" s="19">
        <f>IF(AND(YEAR(ИюлВс1+32)=Год,MONTH(ИюлВс1+32)=7),ИюлВс1+32, "")</f>
        <v>46234</v>
      </c>
      <c r="X11" s="19" t="str">
        <f>IF(AND(YEAR(ИюлВс1+33)=Год,MONTH(ИюлВс1+33)=7),ИюлВс1+33, "")</f>
        <v/>
      </c>
      <c r="Y11" s="19" t="str">
        <f>IF(AND(YEAR(ИюлВс1+34)=Год,MONTH(ИюлВс1+34)=7),ИюлВс1+34, "")</f>
        <v/>
      </c>
      <c r="Z11" s="1"/>
      <c r="AA11" s="19">
        <f>IF(AND(YEAR(ОктВс1+28)=Год,MONTH(ОктВс1+28)=10),ОктВс1+28, "")</f>
        <v>46321</v>
      </c>
      <c r="AB11" s="19">
        <f>IF(AND(YEAR(ОктВс1+29)=Год,MONTH(ОктВс1+29)=10),ОктВс1+29, "")</f>
        <v>46322</v>
      </c>
      <c r="AC11" s="19">
        <f>IF(AND(YEAR(ОктВс1+30)=Год,MONTH(ОктВс1+30)=10),ОктВс1+30, "")</f>
        <v>46323</v>
      </c>
      <c r="AD11" s="19">
        <f>IF(AND(YEAR(ОктВс1+31)=Год,MONTH(ОктВс1+31)=10),ОктВс1+31, "")</f>
        <v>46324</v>
      </c>
      <c r="AE11" s="19">
        <f>IF(AND(YEAR(ОктВс1+32)=Год,MONTH(ОктВс1+32)=10),ОктВс1+32, "")</f>
        <v>46325</v>
      </c>
      <c r="AF11" s="24">
        <f>IF(AND(YEAR(ОктВс1+33)=Год,MONTH(ОктВс1+33)=10),ОктВс1+33, "")</f>
        <v>46326</v>
      </c>
      <c r="AG11" s="19" t="str">
        <f>IF(AND(YEAR(ОктВс1+34)=Год,MONTH(ОктВс1+34)=10),ОктВс1+34, "")</f>
        <v/>
      </c>
      <c r="AH11" s="9"/>
      <c r="AJ11" s="20" t="s">
        <v>21</v>
      </c>
      <c r="AK11" s="22"/>
      <c r="AM11" s="20" t="s">
        <v>25</v>
      </c>
      <c r="AN11" s="21"/>
    </row>
    <row r="12" spans="2:40" ht="15" x14ac:dyDescent="0.2">
      <c r="B12" s="15"/>
      <c r="C12" s="19" t="str">
        <f>IF(AND(YEAR(ЯнвВс1+35)=Год,MONTH(ЯнвВс1+35)=1),ЯнвВс1+35, "")</f>
        <v/>
      </c>
      <c r="D12" s="19" t="str">
        <f>IF(AND(YEAR(ЯнвВс1+36)=Год,MONTH(ЯнвВс1+36)=1),ЯнвВс1+36, "")</f>
        <v/>
      </c>
      <c r="E12" s="19" t="str">
        <f>IF(AND(YEAR(ЯнвВс1+37)=Год,MONTH(ЯнвВс1+37)=1),ЯнвВс1+37, "")</f>
        <v/>
      </c>
      <c r="F12" s="19" t="str">
        <f>IF(AND(YEAR(ЯнвВс1+38)=Год,MONTH(ЯнвВс1+38)=1),ЯнвВс1+38, "")</f>
        <v/>
      </c>
      <c r="G12" s="19" t="str">
        <f>IF(AND(YEAR(ЯнвВс1+39)=Год,MONTH(ЯнвВс1+39)=1),ЯнвВс1+39, "")</f>
        <v/>
      </c>
      <c r="H12" s="19" t="str">
        <f>IF(AND(YEAR(ЯнвВс1+40)=Год,MONTH(ЯнвВс1+40)=1),ЯнвВс1+40, "")</f>
        <v/>
      </c>
      <c r="I12" s="19" t="str">
        <f>IF(AND(YEAR(ЯнвВс1+41)=Год,MONTH(ЯнвВс1+41)=1),ЯнвВс1+41, "")</f>
        <v/>
      </c>
      <c r="J12" s="16"/>
      <c r="K12" s="19" t="str">
        <f>IF(AND(YEAR(АпрВс1+35)=Год,MONTH(АпрВс1+35)=4),АпрВс1+35, "")</f>
        <v/>
      </c>
      <c r="L12" s="19" t="str">
        <f>IF(AND(YEAR(АпрВс1+36)=Год,MONTH(АпрВс1+36)=4),АпрВс1+36, "")</f>
        <v/>
      </c>
      <c r="M12" s="19" t="str">
        <f>IF(AND(YEAR(АпрВс1+37)=Год,MONTH(АпрВс1+37)=4),АпрВс1+37, "")</f>
        <v/>
      </c>
      <c r="N12" s="19" t="str">
        <f>IF(AND(YEAR(АпрВс1+38)=Год,MONTH(АпрВс1+38)=4),АпрВс1+38, "")</f>
        <v/>
      </c>
      <c r="O12" s="19" t="str">
        <f>IF(AND(YEAR(АпрВс1+39)=Год,MONTH(АпрВс1+39)=4),АпрВс1+39, "")</f>
        <v/>
      </c>
      <c r="P12" s="19" t="str">
        <f>IF(AND(YEAR(АпрВс1+40)=Год,MONTH(АпрВс1+40)=4),АпрВс1+40, "")</f>
        <v/>
      </c>
      <c r="Q12" s="19" t="str">
        <f>IF(AND(YEAR(АпрВс1+41)=Год,MONTH(АпрВс1+41)=4),АпрВс1+41, "")</f>
        <v/>
      </c>
      <c r="R12" s="16"/>
      <c r="S12" s="19" t="str">
        <f>IF(AND(YEAR(ИюлВс1+35)=Год,MONTH(ИюлВс1+35)=7),ИюлВс1+35, "")</f>
        <v/>
      </c>
      <c r="T12" s="19" t="str">
        <f>IF(AND(YEAR(ИюлВс1+36)=Год,MONTH(ИюлВс1+36)=7),ИюлВс1+36, "")</f>
        <v/>
      </c>
      <c r="U12" s="19" t="str">
        <f>IF(AND(YEAR(ИюлВс1+37)=Год,MONTH(ИюлВс1+37)=7),ИюлВс1+37, "")</f>
        <v/>
      </c>
      <c r="V12" s="19" t="str">
        <f>IF(AND(YEAR(ИюлВс1+38)=Год,MONTH(ИюлВс1+38)=7),ИюлВс1+38, "")</f>
        <v/>
      </c>
      <c r="W12" s="19" t="str">
        <f>IF(AND(YEAR(ИюлВс1+39)=Год,MONTH(ИюлВс1+39)=7),ИюлВс1+39, "")</f>
        <v/>
      </c>
      <c r="X12" s="19" t="str">
        <f>IF(AND(YEAR(ИюлВс1+40)=Год,MONTH(ИюлВс1+40)=7),ИюлВс1+40, "")</f>
        <v/>
      </c>
      <c r="Y12" s="19" t="str">
        <f>IF(AND(YEAR(ИюлВс1+41)=Год,MONTH(ИюлВс1+41)=7),ИюлВс1+41, "")</f>
        <v/>
      </c>
      <c r="Z12" s="16"/>
      <c r="AA12" s="19" t="str">
        <f>IF(AND(YEAR(ОктВс1+35)=Год,MONTH(ОктВс1+35)=10),ОктВс1+35, "")</f>
        <v/>
      </c>
      <c r="AB12" s="19" t="str">
        <f>IF(AND(YEAR(ОктВс1+36)=Год,MONTH(ОктВс1+36)=10),ОктВс1+36, "")</f>
        <v/>
      </c>
      <c r="AC12" s="19" t="str">
        <f>IF(AND(YEAR(ОктВс1+37)=Год,MONTH(ОктВс1+37)=10),ОктВс1+37, "")</f>
        <v/>
      </c>
      <c r="AD12" s="19" t="str">
        <f>IF(AND(YEAR(ОктВс1+38)=Год,MONTH(ОктВс1+38)=10),ОктВс1+38, "")</f>
        <v/>
      </c>
      <c r="AE12" s="19" t="str">
        <f>IF(AND(YEAR(ОктВс1+39)=Год,MONTH(ОктВс1+39)=10),ОктВс1+39, "")</f>
        <v/>
      </c>
      <c r="AF12" s="19" t="str">
        <f>IF(AND(YEAR(ОктВс1+40)=Год,MONTH(ОктВс1+40)=10),ОктВс1+40, "")</f>
        <v/>
      </c>
      <c r="AG12" s="19" t="str">
        <f>IF(AND(YEAR(ОктВс1+41)=Год,MONTH(ОктВс1+41)=10),ОктВс1+41, "")</f>
        <v/>
      </c>
      <c r="AH12" s="17"/>
      <c r="AJ12" s="20" t="s">
        <v>22</v>
      </c>
      <c r="AK12" s="21"/>
      <c r="AM12" s="20" t="s">
        <v>21</v>
      </c>
      <c r="AN12" s="21"/>
    </row>
    <row r="13" spans="2:40" ht="3.75" customHeight="1" x14ac:dyDescent="0.2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7"/>
    </row>
    <row r="14" spans="2:40" x14ac:dyDescent="0.2">
      <c r="B14" s="8"/>
      <c r="C14" s="31" t="s">
        <v>2</v>
      </c>
      <c r="D14" s="31"/>
      <c r="E14" s="31"/>
      <c r="F14" s="31"/>
      <c r="G14" s="31"/>
      <c r="H14" s="31"/>
      <c r="I14" s="31"/>
      <c r="J14" s="1"/>
      <c r="K14" s="31" t="s">
        <v>12</v>
      </c>
      <c r="L14" s="31"/>
      <c r="M14" s="31"/>
      <c r="N14" s="31"/>
      <c r="O14" s="31"/>
      <c r="P14" s="31"/>
      <c r="Q14" s="31"/>
      <c r="R14" s="1"/>
      <c r="S14" s="31" t="s">
        <v>15</v>
      </c>
      <c r="T14" s="31"/>
      <c r="U14" s="31"/>
      <c r="V14" s="31"/>
      <c r="W14" s="31"/>
      <c r="X14" s="31"/>
      <c r="Y14" s="31"/>
      <c r="Z14" s="1"/>
      <c r="AA14" s="31" t="s">
        <v>18</v>
      </c>
      <c r="AB14" s="31"/>
      <c r="AC14" s="31"/>
      <c r="AD14" s="31"/>
      <c r="AE14" s="31"/>
      <c r="AF14" s="31"/>
      <c r="AG14" s="31"/>
      <c r="AH14" s="9"/>
    </row>
    <row r="15" spans="2:40" x14ac:dyDescent="0.2">
      <c r="B15" s="8"/>
      <c r="C15" s="3" t="s">
        <v>1</v>
      </c>
      <c r="D15" s="3" t="s">
        <v>4</v>
      </c>
      <c r="E15" s="3" t="s">
        <v>6</v>
      </c>
      <c r="F15" s="3" t="s">
        <v>5</v>
      </c>
      <c r="G15" s="3" t="s">
        <v>7</v>
      </c>
      <c r="H15" s="4" t="s">
        <v>8</v>
      </c>
      <c r="I15" s="4" t="s">
        <v>9</v>
      </c>
      <c r="J15" s="1"/>
      <c r="K15" s="3" t="s">
        <v>1</v>
      </c>
      <c r="L15" s="3" t="s">
        <v>4</v>
      </c>
      <c r="M15" s="3" t="s">
        <v>6</v>
      </c>
      <c r="N15" s="3" t="s">
        <v>5</v>
      </c>
      <c r="O15" s="3" t="s">
        <v>7</v>
      </c>
      <c r="P15" s="4" t="s">
        <v>8</v>
      </c>
      <c r="Q15" s="4" t="s">
        <v>9</v>
      </c>
      <c r="R15" s="1"/>
      <c r="S15" s="3" t="s">
        <v>1</v>
      </c>
      <c r="T15" s="3" t="s">
        <v>4</v>
      </c>
      <c r="U15" s="3" t="s">
        <v>6</v>
      </c>
      <c r="V15" s="3" t="s">
        <v>5</v>
      </c>
      <c r="W15" s="3" t="s">
        <v>7</v>
      </c>
      <c r="X15" s="4" t="s">
        <v>8</v>
      </c>
      <c r="Y15" s="4" t="s">
        <v>9</v>
      </c>
      <c r="Z15" s="1"/>
      <c r="AA15" s="3" t="s">
        <v>1</v>
      </c>
      <c r="AB15" s="3" t="s">
        <v>4</v>
      </c>
      <c r="AC15" s="3" t="s">
        <v>6</v>
      </c>
      <c r="AD15" s="3" t="s">
        <v>5</v>
      </c>
      <c r="AE15" s="3" t="s">
        <v>7</v>
      </c>
      <c r="AF15" s="4" t="s">
        <v>8</v>
      </c>
      <c r="AG15" s="4" t="s">
        <v>9</v>
      </c>
      <c r="AH15" s="9"/>
    </row>
    <row r="16" spans="2:40" x14ac:dyDescent="0.2">
      <c r="B16" s="8"/>
      <c r="C16" s="18" t="str">
        <f>IF(AND(YEAR(ФевВс1)=Год,MONTH(ФевВс1)=2),ФевВс1, "")</f>
        <v/>
      </c>
      <c r="D16" s="18" t="str">
        <f>IF(AND(YEAR(ФевВс1+1)=Год,MONTH(ФевВс1+1)=2),ФевВс1+1, "")</f>
        <v/>
      </c>
      <c r="E16" s="18" t="str">
        <f>IF(AND(YEAR(ФевВс1+2)=Год,MONTH(ФевВс1+2)=2),ФевВс1+2, "")</f>
        <v/>
      </c>
      <c r="F16" s="18" t="str">
        <f>IF(AND(YEAR(ФевВс1+3)=Год,MONTH(ФевВс1+3)=2),ФевВс1+3, "")</f>
        <v/>
      </c>
      <c r="G16" s="18" t="str">
        <f>IF(AND(YEAR(ФевВс1+4)=Год,MONTH(ФевВс1+4)=2),ФевВс1+4, "")</f>
        <v/>
      </c>
      <c r="H16" s="18" t="str">
        <f>IF(AND(YEAR(ФевВс1+5)=Год,MONTH(ФевВс1+5)=2),ФевВс1+5, "")</f>
        <v/>
      </c>
      <c r="I16" s="25">
        <f>IF(AND(YEAR(ФевВс1+6)=Год,MONTH(ФевВс1+6)=2),ФевВс1+6, "")</f>
        <v>46054</v>
      </c>
      <c r="J16" s="1"/>
      <c r="K16" s="18" t="str">
        <f>IF(AND(YEAR(МайВс1)=Год,MONTH(МайВс1)=5),МайВс1, "")</f>
        <v/>
      </c>
      <c r="L16" s="18" t="str">
        <f>IF(AND(YEAR(МайВс1+1)=Год,MONTH(МайВс1+1)=5),МайВс1+1, "")</f>
        <v/>
      </c>
      <c r="M16" s="18" t="str">
        <f>IF(AND(YEAR(МайВс1+2)=Год,MONTH(МайВс1+2)=5),МайВс1+2, "")</f>
        <v/>
      </c>
      <c r="N16" s="18" t="str">
        <f>IF(AND(YEAR(МайВс1+3)=Год,MONTH(МайВс1+3)=5),МайВс1+3, "")</f>
        <v/>
      </c>
      <c r="O16" s="25">
        <f>IF(AND(YEAR(МайВс1+4)=Год,MONTH(МайВс1+4)=5),МайВс1+4, "")</f>
        <v>46143</v>
      </c>
      <c r="P16" s="25">
        <f>IF(AND(YEAR(МайВс1+5)=Год,MONTH(МайВс1+5)=5),МайВс1+5, "")</f>
        <v>46144</v>
      </c>
      <c r="Q16" s="25">
        <f>IF(AND(YEAR(МайВс1+6)=Год,MONTH(МайВс1+6)=5),МайВс1+6, "")</f>
        <v>46145</v>
      </c>
      <c r="R16" s="1"/>
      <c r="S16" s="18" t="str">
        <f>IF(AND(YEAR(АвгВс1)=Год,MONTH(АвгВс1)=8),АвгВс1, "")</f>
        <v/>
      </c>
      <c r="T16" s="18" t="str">
        <f>IF(AND(YEAR(АвгВс1+1)=Год,MONTH(АвгВс1+1)=8),АвгВс1+1, "")</f>
        <v/>
      </c>
      <c r="U16" s="18" t="str">
        <f>IF(AND(YEAR(АвгВс1+2)=Год,MONTH(АвгВс1+2)=8),АвгВс1+2, "")</f>
        <v/>
      </c>
      <c r="V16" s="18" t="str">
        <f>IF(AND(YEAR(АвгВс1+3)=Год,MONTH(АвгВс1+3)=8),АвгВс1+3, "")</f>
        <v/>
      </c>
      <c r="W16" s="18" t="str">
        <f>IF(AND(YEAR(АвгВс1+4)=Год,MONTH(АвгВс1+4)=8),АвгВс1+4, "")</f>
        <v/>
      </c>
      <c r="X16" s="25">
        <f>IF(AND(YEAR(АвгВс1+5)=Год,MONTH(АвгВс1+5)=8),АвгВс1+5, "")</f>
        <v>46235</v>
      </c>
      <c r="Y16" s="25">
        <f>IF(AND(YEAR(АвгВс1+6)=Год,MONTH(АвгВс1+6)=8),АвгВс1+6, "")</f>
        <v>46236</v>
      </c>
      <c r="Z16" s="1"/>
      <c r="AA16" s="18" t="str">
        <f>IF(AND(YEAR(НояВс1)=Год,MONTH(НояВс1)=11),НояВс1, "")</f>
        <v/>
      </c>
      <c r="AB16" s="18" t="str">
        <f>IF(AND(YEAR(НояВс1+1)=Год,MONTH(НояВс1+1)=11),НояВс1+1, "")</f>
        <v/>
      </c>
      <c r="AC16" s="18" t="str">
        <f>IF(AND(YEAR(НояВс1+2)=Год,MONTH(НояВс1+2)=11),НояВс1+2, "")</f>
        <v/>
      </c>
      <c r="AD16" s="18" t="str">
        <f>IF(AND(YEAR(НояВс1+3)=Год,MONTH(НояВс1+3)=11),НояВс1+3, "")</f>
        <v/>
      </c>
      <c r="AE16" s="18" t="str">
        <f>IF(AND(YEAR(НояВс1+4)=Год,MONTH(НояВс1+4)=11),НояВс1+4, "")</f>
        <v/>
      </c>
      <c r="AF16" s="18" t="str">
        <f>IF(AND(YEAR(НояВс1+5)=Год,MONTH(НояВс1+5)=11),НояВс1+5, "")</f>
        <v/>
      </c>
      <c r="AG16" s="25">
        <f>IF(AND(YEAR(НояВс1+6)=Год,MONTH(НояВс1+6)=11),НояВс1+6, "")</f>
        <v>46327</v>
      </c>
      <c r="AH16" s="9"/>
    </row>
    <row r="17" spans="2:34" x14ac:dyDescent="0.2">
      <c r="B17" s="8"/>
      <c r="C17" s="19">
        <f>IF(AND(YEAR(ФевВс1+7)=Год,MONTH(ФевВс1+7)=2),ФевВс1+7, "")</f>
        <v>46055</v>
      </c>
      <c r="D17" s="19">
        <f>IF(AND(YEAR(ФевВс1+8)=Год,MONTH(ФевВс1+8)=2),ФевВс1+8, "")</f>
        <v>46056</v>
      </c>
      <c r="E17" s="19">
        <f>IF(AND(YEAR(ФевВс1+9)=Год,MONTH(ФевВс1+9)=2),ФевВс1+9, "")</f>
        <v>46057</v>
      </c>
      <c r="F17" s="19">
        <f>IF(AND(YEAR(ФевВс1+10)=Год,MONTH(ФевВс1+10)=2),ФевВс1+10, "")</f>
        <v>46058</v>
      </c>
      <c r="G17" s="19">
        <f>IF(AND(YEAR(ФевВс1+11)=Год,MONTH(ФевВс1+11)=2),ФевВс1+11, "")</f>
        <v>46059</v>
      </c>
      <c r="H17" s="24">
        <f>IF(AND(YEAR(ФевВс1+12)=Год,MONTH(ФевВс1+12)=2),ФевВс1+12, "")</f>
        <v>46060</v>
      </c>
      <c r="I17" s="24">
        <f>IF(AND(YEAR(ФевВс1+13)=Год,MONTH(ФевВс1+13)=2),ФевВс1+13, "")</f>
        <v>46061</v>
      </c>
      <c r="J17" s="1"/>
      <c r="K17" s="19">
        <f>IF(AND(YEAR(МайВс1+7)=Год,MONTH(МайВс1+7)=5),МайВс1+7, "")</f>
        <v>46146</v>
      </c>
      <c r="L17" s="19">
        <f>IF(AND(YEAR(МайВс1+8)=Год,MONTH(МайВс1+8)=5),МайВс1+8, "")</f>
        <v>46147</v>
      </c>
      <c r="M17" s="19">
        <f>IF(AND(YEAR(МайВс1+9)=Год,MONTH(МайВс1+9)=5),МайВс1+9, "")</f>
        <v>46148</v>
      </c>
      <c r="N17" s="19">
        <f>IF(AND(YEAR(МайВс1+10)=Год,MONTH(МайВс1+10)=5),МайВс1+10, "")</f>
        <v>46149</v>
      </c>
      <c r="O17" s="19">
        <f>IF(AND(YEAR(МайВс1+11)=Год,MONTH(МайВс1+11)=5),МайВс1+11, "")</f>
        <v>46150</v>
      </c>
      <c r="P17" s="24">
        <f>IF(AND(YEAR(МайВс1+12)=Год,MONTH(МайВс1+12)=5),МайВс1+12, "")</f>
        <v>46151</v>
      </c>
      <c r="Q17" s="24">
        <f>IF(AND(YEAR(МайВс1+13)=Год,MONTH(МайВс1+13)=5),МайВс1+13, "")</f>
        <v>46152</v>
      </c>
      <c r="R17" s="1"/>
      <c r="S17" s="19">
        <f>IF(AND(YEAR(АвгВс1+7)=Год,MONTH(АвгВс1+7)=8),АвгВс1+7, "")</f>
        <v>46237</v>
      </c>
      <c r="T17" s="19">
        <f>IF(AND(YEAR(АвгВс1+8)=Год,MONTH(АвгВс1+8)=8),АвгВс1+8, "")</f>
        <v>46238</v>
      </c>
      <c r="U17" s="19">
        <f>IF(AND(YEAR(АвгВс1+9)=Год,MONTH(АвгВс1+9)=8),АвгВс1+9, "")</f>
        <v>46239</v>
      </c>
      <c r="V17" s="19">
        <f>IF(AND(YEAR(АвгВс1+10)=Год,MONTH(АвгВс1+10)=8),АвгВс1+10, "")</f>
        <v>46240</v>
      </c>
      <c r="W17" s="19">
        <f>IF(AND(YEAR(АвгВс1+11)=Год,MONTH(АвгВс1+11)=8),АвгВс1+11, "")</f>
        <v>46241</v>
      </c>
      <c r="X17" s="24">
        <f>IF(AND(YEAR(АвгВс1+12)=Год,MONTH(АвгВс1+12)=8),АвгВс1+12, "")</f>
        <v>46242</v>
      </c>
      <c r="Y17" s="24">
        <f>IF(AND(YEAR(АвгВс1+13)=Год,MONTH(АвгВс1+13)=8),АвгВс1+13, "")</f>
        <v>46243</v>
      </c>
      <c r="Z17" s="1"/>
      <c r="AA17" s="19">
        <f>IF(AND(YEAR(НояВс1+7)=Год,MONTH(НояВс1+7)=11),НояВс1+7, "")</f>
        <v>46328</v>
      </c>
      <c r="AB17" s="19">
        <f>IF(AND(YEAR(НояВс1+8)=Год,MONTH(НояВс1+8)=11),НояВс1+8, "")</f>
        <v>46329</v>
      </c>
      <c r="AC17" s="24">
        <f>IF(AND(YEAR(НояВс1+9)=Год,MONTH(НояВс1+9)=11),НояВс1+9, "")</f>
        <v>46330</v>
      </c>
      <c r="AD17" s="19">
        <f>IF(AND(YEAR(НояВс1+10)=Год,MONTH(НояВс1+10)=11),НояВс1+10, "")</f>
        <v>46331</v>
      </c>
      <c r="AE17" s="19">
        <f>IF(AND(YEAR(НояВс1+11)=Год,MONTH(НояВс1+11)=11),НояВс1+11, "")</f>
        <v>46332</v>
      </c>
      <c r="AF17" s="24">
        <f>IF(AND(YEAR(НояВс1+12)=Год,MONTH(НояВс1+12)=11),НояВс1+12, "")</f>
        <v>46333</v>
      </c>
      <c r="AG17" s="24">
        <f>IF(AND(YEAR(НояВс1+13)=Год,MONTH(НояВс1+13)=11),НояВс1+13, "")</f>
        <v>46334</v>
      </c>
      <c r="AH17" s="9"/>
    </row>
    <row r="18" spans="2:34" x14ac:dyDescent="0.2">
      <c r="B18" s="8"/>
      <c r="C18" s="19">
        <f>IF(AND(YEAR(ФевВс1+14)=Год,MONTH(ФевВс1+14)=2),ФевВс1+14, "")</f>
        <v>46062</v>
      </c>
      <c r="D18" s="19">
        <f>IF(AND(YEAR(ФевВс1+15)=Год,MONTH(ФевВс1+15)=2),ФевВс1+15, "")</f>
        <v>46063</v>
      </c>
      <c r="E18" s="19">
        <f>IF(AND(YEAR(ФевВс1+16)=Год,MONTH(ФевВс1+16)=2),ФевВс1+16, "")</f>
        <v>46064</v>
      </c>
      <c r="F18" s="19">
        <f>IF(AND(YEAR(ФевВс1+17)=Год,MONTH(ФевВс1+17)=2),ФевВс1+17, "")</f>
        <v>46065</v>
      </c>
      <c r="G18" s="19">
        <f>IF(AND(YEAR(ФевВс1+18)=Год,MONTH(ФевВс1+18)=2),ФевВс1+18, "")</f>
        <v>46066</v>
      </c>
      <c r="H18" s="24">
        <f>IF(AND(YEAR(ФевВс1+19)=Год,MONTH(ФевВс1+19)=2),ФевВс1+19, "")</f>
        <v>46067</v>
      </c>
      <c r="I18" s="24">
        <f>IF(AND(YEAR(ФевВс1+20)=Год,MONTH(ФевВс1+20)=2),ФевВс1+20, "")</f>
        <v>46068</v>
      </c>
      <c r="J18" s="1"/>
      <c r="K18" s="24">
        <f>IF(AND(YEAR(МайВс1+14)=Год,MONTH(МайВс1+14)=5),МайВс1+14, "")</f>
        <v>46153</v>
      </c>
      <c r="L18" s="19">
        <f>IF(AND(YEAR(МайВс1+15)=Год,MONTH(МайВс1+15)=5),МайВс1+15, "")</f>
        <v>46154</v>
      </c>
      <c r="M18" s="19">
        <f>IF(AND(YEAR(МайВс1+16)=Год,MONTH(МайВс1+16)=5),МайВс1+16, "")</f>
        <v>46155</v>
      </c>
      <c r="N18" s="19">
        <f>IF(AND(YEAR(МайВс1+17)=Год,MONTH(МайВс1+17)=5),МайВс1+17, "")</f>
        <v>46156</v>
      </c>
      <c r="O18" s="19">
        <f>IF(AND(YEAR(МайВс1+18)=Год,MONTH(МайВс1+18)=5),МайВс1+18, "")</f>
        <v>46157</v>
      </c>
      <c r="P18" s="24">
        <f>IF(AND(YEAR(МайВс1+19)=Год,MONTH(МайВс1+19)=5),МайВс1+19, "")</f>
        <v>46158</v>
      </c>
      <c r="Q18" s="24">
        <f>IF(AND(YEAR(МайВс1+20)=Год,MONTH(МайВс1+20)=5),МайВс1+20, "")</f>
        <v>46159</v>
      </c>
      <c r="R18" s="1"/>
      <c r="S18" s="19">
        <f>IF(AND(YEAR(АвгВс1+14)=Год,MONTH(АвгВс1+14)=8),АвгВс1+14, "")</f>
        <v>46244</v>
      </c>
      <c r="T18" s="19">
        <f>IF(AND(YEAR(АвгВс1+15)=Год,MONTH(АвгВс1+15)=8),АвгВс1+15, "")</f>
        <v>46245</v>
      </c>
      <c r="U18" s="19">
        <f>IF(AND(YEAR(АвгВс1+16)=Год,MONTH(АвгВс1+16)=8),АвгВс1+16, "")</f>
        <v>46246</v>
      </c>
      <c r="V18" s="19">
        <f>IF(AND(YEAR(АвгВс1+17)=Год,MONTH(АвгВс1+17)=8),АвгВс1+17, "")</f>
        <v>46247</v>
      </c>
      <c r="W18" s="19">
        <f>IF(AND(YEAR(АвгВс1+18)=Год,MONTH(АвгВс1+18)=8),АвгВс1+18, "")</f>
        <v>46248</v>
      </c>
      <c r="X18" s="24">
        <f>IF(AND(YEAR(АвгВс1+19)=Год,MONTH(АвгВс1+19)=8),АвгВс1+19, "")</f>
        <v>46249</v>
      </c>
      <c r="Y18" s="24">
        <f>IF(AND(YEAR(АвгВс1+20)=Год,MONTH(АвгВс1+20)=8),АвгВс1+20, "")</f>
        <v>46250</v>
      </c>
      <c r="Z18" s="1"/>
      <c r="AA18" s="19">
        <f>IF(AND(YEAR(НояВс1+14)=Год,MONTH(НояВс1+14)=11),НояВс1+14, "")</f>
        <v>46335</v>
      </c>
      <c r="AB18" s="19">
        <f>IF(AND(YEAR(НояВс1+15)=Год,MONTH(НояВс1+15)=11),НояВс1+15, "")</f>
        <v>46336</v>
      </c>
      <c r="AC18" s="19">
        <f>IF(AND(YEAR(НояВс1+16)=Год,MONTH(НояВс1+16)=11),НояВс1+16, "")</f>
        <v>46337</v>
      </c>
      <c r="AD18" s="19">
        <f>IF(AND(YEAR(НояВс1+17)=Год,MONTH(НояВс1+17)=11),НояВс1+17, "")</f>
        <v>46338</v>
      </c>
      <c r="AE18" s="19">
        <f>IF(AND(YEAR(НояВс1+18)=Год,MONTH(НояВс1+18)=11),НояВс1+18, "")</f>
        <v>46339</v>
      </c>
      <c r="AF18" s="24">
        <f>IF(AND(YEAR(НояВс1+19)=Год,MONTH(НояВс1+19)=11),НояВс1+19, "")</f>
        <v>46340</v>
      </c>
      <c r="AG18" s="24">
        <f>IF(AND(YEAR(НояВс1+20)=Год,MONTH(НояВс1+20)=11),НояВс1+20, "")</f>
        <v>46341</v>
      </c>
      <c r="AH18" s="9"/>
    </row>
    <row r="19" spans="2:34" x14ac:dyDescent="0.2">
      <c r="B19" s="8"/>
      <c r="C19" s="19">
        <f>IF(AND(YEAR(ФевВс1+21)=Год,MONTH(ФевВс1+21)=2),ФевВс1+21, "")</f>
        <v>46069</v>
      </c>
      <c r="D19" s="19">
        <f>IF(AND(YEAR(ФевВс1+22)=Год,MONTH(ФевВс1+22)=2),ФевВс1+22, "")</f>
        <v>46070</v>
      </c>
      <c r="E19" s="19">
        <f>IF(AND(YEAR(ФевВс1+23)=Год,MONTH(ФевВс1+23)=2),ФевВс1+23, "")</f>
        <v>46071</v>
      </c>
      <c r="F19" s="19">
        <f>IF(AND(YEAR(ФевВс1+24)=Год,MONTH(ФевВс1+24)=2),ФевВс1+24, "")</f>
        <v>46072</v>
      </c>
      <c r="G19" s="19">
        <f>IF(AND(YEAR(ФевВс1+25)=Год,MONTH(ФевВс1+25)=2),ФевВс1+25, "")</f>
        <v>46073</v>
      </c>
      <c r="H19" s="24">
        <f>IF(AND(YEAR(ФевВс1+26)=Год,MONTH(ФевВс1+26)=2),ФевВс1+26, "")</f>
        <v>46074</v>
      </c>
      <c r="I19" s="24">
        <f>IF(AND(YEAR(ФевВс1+27)=Год,MONTH(ФевВс1+27)=2),ФевВс1+27, "")</f>
        <v>46075</v>
      </c>
      <c r="J19" s="1"/>
      <c r="K19" s="19">
        <f>IF(AND(YEAR(МайВс1+21)=Год,MONTH(МайВс1+21)=5),МайВс1+21, "")</f>
        <v>46160</v>
      </c>
      <c r="L19" s="19">
        <f>IF(AND(YEAR(МайВс1+22)=Год,MONTH(МайВс1+22)=5),МайВс1+22, "")</f>
        <v>46161</v>
      </c>
      <c r="M19" s="19">
        <f>IF(AND(YEAR(МайВс1+23)=Год,MONTH(МайВс1+23)=5),МайВс1+23, "")</f>
        <v>46162</v>
      </c>
      <c r="N19" s="19">
        <f>IF(AND(YEAR(МайВс1+24)=Год,MONTH(МайВс1+24)=5),МайВс1+24, "")</f>
        <v>46163</v>
      </c>
      <c r="O19" s="19">
        <f>IF(AND(YEAR(МайВс1+25)=Год,MONTH(МайВс1+25)=5),МайВс1+25, "")</f>
        <v>46164</v>
      </c>
      <c r="P19" s="24">
        <f>IF(AND(YEAR(МайВс1+26)=Год,MONTH(МайВс1+26)=5),МайВс1+26, "")</f>
        <v>46165</v>
      </c>
      <c r="Q19" s="24">
        <f>IF(AND(YEAR(МайВс1+27)=Год,MONTH(МайВс1+27)=5),МайВс1+27, "")</f>
        <v>46166</v>
      </c>
      <c r="R19" s="1"/>
      <c r="S19" s="19">
        <f>IF(AND(YEAR(АвгВс1+21)=Год,MONTH(АвгВс1+21)=8),АвгВс1+21, "")</f>
        <v>46251</v>
      </c>
      <c r="T19" s="19">
        <f>IF(AND(YEAR(АвгВс1+22)=Год,MONTH(АвгВс1+22)=8),АвгВс1+22, "")</f>
        <v>46252</v>
      </c>
      <c r="U19" s="19">
        <f>IF(AND(YEAR(АвгВс1+23)=Год,MONTH(АвгВс1+23)=8),АвгВс1+23, "")</f>
        <v>46253</v>
      </c>
      <c r="V19" s="19">
        <f>IF(AND(YEAR(АвгВс1+24)=Год,MONTH(АвгВс1+24)=8),АвгВс1+24, "")</f>
        <v>46254</v>
      </c>
      <c r="W19" s="19">
        <f>IF(AND(YEAR(АвгВс1+25)=Год,MONTH(АвгВс1+25)=8),АвгВс1+25, "")</f>
        <v>46255</v>
      </c>
      <c r="X19" s="24">
        <f>IF(AND(YEAR(АвгВс1+26)=Год,MONTH(АвгВс1+26)=8),АвгВс1+26, "")</f>
        <v>46256</v>
      </c>
      <c r="Y19" s="24">
        <f>IF(AND(YEAR(АвгВс1+27)=Год,MONTH(АвгВс1+27)=8),АвгВс1+27, "")</f>
        <v>46257</v>
      </c>
      <c r="Z19" s="1"/>
      <c r="AA19" s="19">
        <f>IF(AND(YEAR(НояВс1+21)=Год,MONTH(НояВс1+21)=11),НояВс1+21, "")</f>
        <v>46342</v>
      </c>
      <c r="AB19" s="19">
        <f>IF(AND(YEAR(НояВс1+22)=Год,MONTH(НояВс1+22)=11),НояВс1+22, "")</f>
        <v>46343</v>
      </c>
      <c r="AC19" s="19">
        <f>IF(AND(YEAR(НояВс1+23)=Год,MONTH(НояВс1+23)=11),НояВс1+23, "")</f>
        <v>46344</v>
      </c>
      <c r="AD19" s="19">
        <f>IF(AND(YEAR(НояВс1+24)=Год,MONTH(НояВс1+24)=11),НояВс1+24, "")</f>
        <v>46345</v>
      </c>
      <c r="AE19" s="19">
        <f>IF(AND(YEAR(НояВс1+25)=Год,MONTH(НояВс1+25)=11),НояВс1+25, "")</f>
        <v>46346</v>
      </c>
      <c r="AF19" s="24">
        <f>IF(AND(YEAR(НояВс1+26)=Год,MONTH(НояВс1+26)=11),НояВс1+26, "")</f>
        <v>46347</v>
      </c>
      <c r="AG19" s="24">
        <f>IF(AND(YEAR(НояВс1+27)=Год,MONTH(НояВс1+27)=11),НояВс1+27, "")</f>
        <v>46348</v>
      </c>
      <c r="AH19" s="9"/>
    </row>
    <row r="20" spans="2:34" x14ac:dyDescent="0.2">
      <c r="B20" s="8"/>
      <c r="C20" s="24">
        <f>IF(AND(YEAR(ФевВс1+28)=Год,MONTH(ФевВс1+28)=2),ФевВс1+28, "")</f>
        <v>46076</v>
      </c>
      <c r="D20" s="19">
        <f>IF(AND(YEAR(ФевВс1+29)=Год,MONTH(ФевВс1+29)=2),ФевВс1+29, "")</f>
        <v>46077</v>
      </c>
      <c r="E20" s="19">
        <f>IF(AND(YEAR(ФевВс1+30)=Год,MONTH(ФевВс1+30)=2),ФевВс1+30, "")</f>
        <v>46078</v>
      </c>
      <c r="F20" s="19">
        <f>IF(AND(YEAR(ФевВс1+31)=Год,MONTH(ФевВс1+31)=2),ФевВс1+31, "")</f>
        <v>46079</v>
      </c>
      <c r="G20" s="19">
        <f>IF(AND(YEAR(ФевВс1+32)=Год,MONTH(ФевВс1+32)=2),ФевВс1+32, "")</f>
        <v>46080</v>
      </c>
      <c r="H20" s="24">
        <f>IF(AND(YEAR(ФевВс1+33)=Год,MONTH(ФевВс1+33)=2),ФевВс1+33, "")</f>
        <v>46081</v>
      </c>
      <c r="I20" s="19" t="str">
        <f>IF(AND(YEAR(ФевВс1+34)=Год,MONTH(ФевВс1+34)=2),ФевВс1+34, "")</f>
        <v/>
      </c>
      <c r="J20" s="1"/>
      <c r="K20" s="19">
        <f>IF(AND(YEAR(МайВс1+28)=Год,MONTH(МайВс1+28)=5),МайВс1+28, "")</f>
        <v>46167</v>
      </c>
      <c r="L20" s="19">
        <f>IF(AND(YEAR(МайВс1+29)=Год,MONTH(МайВс1+29)=5),МайВс1+29, "")</f>
        <v>46168</v>
      </c>
      <c r="M20" s="19">
        <f>IF(AND(YEAR(МайВс1+30)=Год,MONTH(МайВс1+30)=5),МайВс1+30, "")</f>
        <v>46169</v>
      </c>
      <c r="N20" s="19">
        <f>IF(AND(YEAR(МайВс1+31)=Год,MONTH(МайВс1+31)=5),МайВс1+31, "")</f>
        <v>46170</v>
      </c>
      <c r="O20" s="19">
        <f>IF(AND(YEAR(МайВс1+32)=Год,MONTH(МайВс1+32)=5),МайВс1+32, "")</f>
        <v>46171</v>
      </c>
      <c r="P20" s="24">
        <f>IF(AND(YEAR(МайВс1+33)=Год,MONTH(МайВс1+33)=5),МайВс1+33, "")</f>
        <v>46172</v>
      </c>
      <c r="Q20" s="24">
        <f>IF(AND(YEAR(МайВс1+34)=Год,MONTH(МайВс1+34)=5),МайВс1+34, "")</f>
        <v>46173</v>
      </c>
      <c r="R20" s="1"/>
      <c r="S20" s="19">
        <f>IF(AND(YEAR(АвгВс1+28)=Год,MONTH(АвгВс1+28)=8),АвгВс1+28, "")</f>
        <v>46258</v>
      </c>
      <c r="T20" s="19">
        <f>IF(AND(YEAR(АвгВс1+29)=Год,MONTH(АвгВс1+29)=8),АвгВс1+29, "")</f>
        <v>46259</v>
      </c>
      <c r="U20" s="19">
        <f>IF(AND(YEAR(АвгВс1+30)=Год,MONTH(АвгВс1+30)=8),АвгВс1+30, "")</f>
        <v>46260</v>
      </c>
      <c r="V20" s="19">
        <f>IF(AND(YEAR(АвгВс1+31)=Год,MONTH(АвгВс1+31)=8),АвгВс1+31, "")</f>
        <v>46261</v>
      </c>
      <c r="W20" s="19">
        <f>IF(AND(YEAR(АвгВс1+32)=Год,MONTH(АвгВс1+32)=8),АвгВс1+32, "")</f>
        <v>46262</v>
      </c>
      <c r="X20" s="24">
        <f>IF(AND(YEAR(АвгВс1+33)=Год,MONTH(АвгВс1+33)=8),АвгВс1+33, "")</f>
        <v>46263</v>
      </c>
      <c r="Y20" s="24">
        <f>IF(AND(YEAR(АвгВс1+34)=Год,MONTH(АвгВс1+34)=8),АвгВс1+34, "")</f>
        <v>46264</v>
      </c>
      <c r="Z20" s="1"/>
      <c r="AA20" s="19">
        <f>IF(AND(YEAR(НояВс1+28)=Год,MONTH(НояВс1+28)=11),НояВс1+28, "")</f>
        <v>46349</v>
      </c>
      <c r="AB20" s="19">
        <f>IF(AND(YEAR(НояВс1+29)=Год,MONTH(НояВс1+29)=11),НояВс1+29, "")</f>
        <v>46350</v>
      </c>
      <c r="AC20" s="19">
        <f>IF(AND(YEAR(НояВс1+30)=Год,MONTH(НояВс1+30)=11),НояВс1+30, "")</f>
        <v>46351</v>
      </c>
      <c r="AD20" s="19">
        <f>IF(AND(YEAR(НояВс1+31)=Год,MONTH(НояВс1+31)=11),НояВс1+31, "")</f>
        <v>46352</v>
      </c>
      <c r="AE20" s="19">
        <f>IF(AND(YEAR(НояВс1+32)=Год,MONTH(НояВс1+32)=11),НояВс1+32, "")</f>
        <v>46353</v>
      </c>
      <c r="AF20" s="24">
        <f>IF(AND(YEAR(НояВс1+33)=Год,MONTH(НояВс1+33)=11),НояВс1+33, "")</f>
        <v>46354</v>
      </c>
      <c r="AG20" s="24">
        <f>IF(AND(YEAR(НояВс1+34)=Год,MONTH(НояВс1+34)=11),НояВс1+34, "")</f>
        <v>46355</v>
      </c>
      <c r="AH20" s="9"/>
    </row>
    <row r="21" spans="2:34" x14ac:dyDescent="0.2">
      <c r="B21" s="15"/>
      <c r="C21" s="19" t="str">
        <f>IF(AND(YEAR(ФевВс1+35)=Год,MONTH(ФевВс1+35)=2),ФевВс1+35, "")</f>
        <v/>
      </c>
      <c r="D21" s="19" t="str">
        <f>IF(AND(YEAR(ФевВс1+36)=Год,MONTH(ФевВс1+36)=2),ФевВс1+36, "")</f>
        <v/>
      </c>
      <c r="E21" s="19" t="str">
        <f>IF(AND(YEAR(ФевВс1+37)=Год,MONTH(ФевВс1+37)=2),ФевВс1+37, "")</f>
        <v/>
      </c>
      <c r="F21" s="19" t="str">
        <f>IF(AND(YEAR(ФевВс1+38)=Год,MONTH(ФевВс1+38)=2),ФевВс1+38, "")</f>
        <v/>
      </c>
      <c r="G21" s="19" t="str">
        <f>IF(AND(YEAR(ФевВс1+39)=Год,MONTH(ФевВс1+39)=2),ФевВс1+39, "")</f>
        <v/>
      </c>
      <c r="H21" s="19" t="str">
        <f>IF(AND(YEAR(ФевВс1+40)=Год,MONTH(ФевВс1+40)=2),ФевВс1+40, "")</f>
        <v/>
      </c>
      <c r="I21" s="19" t="str">
        <f>IF(AND(YEAR(ФевВс1+41)=Год,MONTH(ФевВс1+41)=2),ФевВс1+41, "")</f>
        <v/>
      </c>
      <c r="J21" s="16"/>
      <c r="K21" s="19" t="str">
        <f>IF(AND(YEAR(МайВс1+35)=Год,MONTH(МайВс1+35)=5),МайВс1+35, "")</f>
        <v/>
      </c>
      <c r="L21" s="19" t="str">
        <f>IF(AND(YEAR(МайВс1+36)=Год,MONTH(МайВс1+36)=5),МайВс1+36, "")</f>
        <v/>
      </c>
      <c r="M21" s="19" t="str">
        <f>IF(AND(YEAR(МайВс1+37)=Год,MONTH(МайВс1+37)=5),МайВс1+37, "")</f>
        <v/>
      </c>
      <c r="N21" s="19" t="str">
        <f>IF(AND(YEAR(МайВс1+38)=Год,MONTH(МайВс1+38)=5),МайВс1+38, "")</f>
        <v/>
      </c>
      <c r="O21" s="19" t="str">
        <f>IF(AND(YEAR(МайВс1+39)=Год,MONTH(МайВс1+39)=5),МайВс1+39, "")</f>
        <v/>
      </c>
      <c r="P21" s="19" t="str">
        <f>IF(AND(YEAR(МайВс1+40)=Год,MONTH(МайВс1+40)=5),МайВс1+40, "")</f>
        <v/>
      </c>
      <c r="Q21" s="19" t="str">
        <f>IF(AND(YEAR(МайВс1+41)=Год,MONTH(МайВс1+41)=5),МайВс1+41, "")</f>
        <v/>
      </c>
      <c r="R21" s="16"/>
      <c r="S21" s="19">
        <f>IF(AND(YEAR(АвгВс1+35)=Год,MONTH(АвгВс1+35)=8),АвгВс1+35, "")</f>
        <v>46265</v>
      </c>
      <c r="T21" s="19" t="str">
        <f>IF(AND(YEAR(АвгВс1+36)=Год,MONTH(АвгВс1+36)=8),АвгВс1+36, "")</f>
        <v/>
      </c>
      <c r="U21" s="19" t="str">
        <f>IF(AND(YEAR(АвгВс1+37)=Год,MONTH(АвгВс1+37)=8),АвгВс1+37, "")</f>
        <v/>
      </c>
      <c r="V21" s="19" t="str">
        <f>IF(AND(YEAR(АвгВс1+38)=Год,MONTH(АвгВс1+38)=8),АвгВс1+38, "")</f>
        <v/>
      </c>
      <c r="W21" s="19" t="str">
        <f>IF(AND(YEAR(АвгВс1+39)=Год,MONTH(АвгВс1+39)=8),АвгВс1+39, "")</f>
        <v/>
      </c>
      <c r="X21" s="19" t="str">
        <f>IF(AND(YEAR(АвгВс1+40)=Год,MONTH(АвгВс1+40)=8),АвгВс1+40, "")</f>
        <v/>
      </c>
      <c r="Y21" s="19" t="str">
        <f>IF(AND(YEAR(АвгВс1+41)=Год,MONTH(АвгВс1+41)=8),АвгВс1+41, "")</f>
        <v/>
      </c>
      <c r="Z21" s="16"/>
      <c r="AA21" s="19">
        <f>IF(AND(YEAR(НояВс1+35)=Год,MONTH(НояВс1+35)=11),НояВс1+35, "")</f>
        <v>46356</v>
      </c>
      <c r="AB21" s="19" t="str">
        <f>IF(AND(YEAR(НояВс1+36)=Год,MONTH(НояВс1+36)=11),НояВс1+36, "")</f>
        <v/>
      </c>
      <c r="AC21" s="19" t="str">
        <f>IF(AND(YEAR(НояВс1+37)=Год,MONTH(НояВс1+37)=11),НояВс1+37, "")</f>
        <v/>
      </c>
      <c r="AD21" s="19" t="str">
        <f>IF(AND(YEAR(НояВс1+38)=Год,MONTH(НояВс1+38)=11),НояВс1+38, "")</f>
        <v/>
      </c>
      <c r="AE21" s="19" t="str">
        <f>IF(AND(YEAR(НояВс1+39)=Год,MONTH(НояВс1+39)=11),НояВс1+39, "")</f>
        <v/>
      </c>
      <c r="AF21" s="19" t="str">
        <f>IF(AND(YEAR(НояВс1+40)=Год,MONTH(НояВс1+40)=11),НояВс1+40, "")</f>
        <v/>
      </c>
      <c r="AG21" s="19" t="str">
        <f>IF(AND(YEAR(НояВс1+41)=Год,MONTH(НояВс1+41)=11),НояВс1+41, "")</f>
        <v/>
      </c>
      <c r="AH21" s="17"/>
    </row>
    <row r="22" spans="2:34" ht="4.5" customHeight="1" x14ac:dyDescent="0.2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</row>
    <row r="23" spans="2:34" x14ac:dyDescent="0.2">
      <c r="B23" s="8"/>
      <c r="C23" s="31" t="s">
        <v>3</v>
      </c>
      <c r="D23" s="31"/>
      <c r="E23" s="31"/>
      <c r="F23" s="31"/>
      <c r="G23" s="31"/>
      <c r="H23" s="31"/>
      <c r="I23" s="31"/>
      <c r="J23" s="1"/>
      <c r="K23" s="31" t="s">
        <v>13</v>
      </c>
      <c r="L23" s="31"/>
      <c r="M23" s="31"/>
      <c r="N23" s="31"/>
      <c r="O23" s="31"/>
      <c r="P23" s="31"/>
      <c r="Q23" s="31"/>
      <c r="R23" s="1"/>
      <c r="S23" s="31" t="s">
        <v>16</v>
      </c>
      <c r="T23" s="31"/>
      <c r="U23" s="31"/>
      <c r="V23" s="31"/>
      <c r="W23" s="31"/>
      <c r="X23" s="31"/>
      <c r="Y23" s="31"/>
      <c r="Z23" s="1"/>
      <c r="AA23" s="31" t="s">
        <v>19</v>
      </c>
      <c r="AB23" s="31"/>
      <c r="AC23" s="31"/>
      <c r="AD23" s="31"/>
      <c r="AE23" s="31"/>
      <c r="AF23" s="31"/>
      <c r="AG23" s="31"/>
      <c r="AH23" s="9"/>
    </row>
    <row r="24" spans="2:34" x14ac:dyDescent="0.2">
      <c r="B24" s="8"/>
      <c r="C24" s="3" t="s">
        <v>1</v>
      </c>
      <c r="D24" s="3" t="s">
        <v>4</v>
      </c>
      <c r="E24" s="3" t="s">
        <v>6</v>
      </c>
      <c r="F24" s="3" t="s">
        <v>5</v>
      </c>
      <c r="G24" s="3" t="s">
        <v>7</v>
      </c>
      <c r="H24" s="4" t="s">
        <v>8</v>
      </c>
      <c r="I24" s="4" t="s">
        <v>9</v>
      </c>
      <c r="J24" s="1"/>
      <c r="K24" s="3" t="s">
        <v>1</v>
      </c>
      <c r="L24" s="3" t="s">
        <v>4</v>
      </c>
      <c r="M24" s="3" t="s">
        <v>6</v>
      </c>
      <c r="N24" s="3" t="s">
        <v>5</v>
      </c>
      <c r="O24" s="3" t="s">
        <v>7</v>
      </c>
      <c r="P24" s="4" t="s">
        <v>8</v>
      </c>
      <c r="Q24" s="4" t="s">
        <v>9</v>
      </c>
      <c r="R24" s="1"/>
      <c r="S24" s="3" t="s">
        <v>1</v>
      </c>
      <c r="T24" s="3" t="s">
        <v>4</v>
      </c>
      <c r="U24" s="3" t="s">
        <v>6</v>
      </c>
      <c r="V24" s="3" t="s">
        <v>5</v>
      </c>
      <c r="W24" s="3" t="s">
        <v>7</v>
      </c>
      <c r="X24" s="4" t="s">
        <v>8</v>
      </c>
      <c r="Y24" s="4" t="s">
        <v>9</v>
      </c>
      <c r="Z24" s="1"/>
      <c r="AA24" s="3" t="s">
        <v>1</v>
      </c>
      <c r="AB24" s="3" t="s">
        <v>4</v>
      </c>
      <c r="AC24" s="3" t="s">
        <v>6</v>
      </c>
      <c r="AD24" s="3" t="s">
        <v>5</v>
      </c>
      <c r="AE24" s="3" t="s">
        <v>7</v>
      </c>
      <c r="AF24" s="4" t="s">
        <v>8</v>
      </c>
      <c r="AG24" s="4" t="s">
        <v>9</v>
      </c>
      <c r="AH24" s="9"/>
    </row>
    <row r="25" spans="2:34" x14ac:dyDescent="0.2">
      <c r="B25" s="8"/>
      <c r="C25" s="18" t="str">
        <f>IF(AND(YEAR(МарВс1)=Год,MONTH(МарВс1)=3),МарВс1, "")</f>
        <v/>
      </c>
      <c r="D25" s="18" t="str">
        <f>IF(AND(YEAR(МарВс1+1)=Год,MONTH(МарВс1+1)=3),МарВс1+1, "")</f>
        <v/>
      </c>
      <c r="E25" s="18" t="str">
        <f>IF(AND(YEAR(МарВс1+2)=Год,MONTH(МарВс1+2)=3),МарВс1+2, "")</f>
        <v/>
      </c>
      <c r="F25" s="18" t="str">
        <f>IF(AND(YEAR(МарВс1+3)=Год,MONTH(МарВс1+3)=3),МарВс1+3, "")</f>
        <v/>
      </c>
      <c r="G25" s="18" t="str">
        <f>IF(AND(YEAR(МарВс1+4)=Год,MONTH(МарВс1+4)=3),МарВс1+4, "")</f>
        <v/>
      </c>
      <c r="H25" s="18" t="str">
        <f>IF(AND(YEAR(МарВс1+5)=Год,MONTH(МарВс1+5)=3),МарВс1+5, "")</f>
        <v/>
      </c>
      <c r="I25" s="25">
        <f>IF(AND(YEAR(МарВс1+6)=Год,MONTH(МарВс1+6)=3),МарВс1+6, "")</f>
        <v>46082</v>
      </c>
      <c r="J25" s="1"/>
      <c r="K25" s="18">
        <f>IF(AND(YEAR(ИюнВс1)=Год,MONTH(ИюнВс1)=6),ИюнВс1, "")</f>
        <v>46174</v>
      </c>
      <c r="L25" s="18">
        <f>IF(AND(YEAR(ИюнВс1+1)=Год,MONTH(ИюнВс1+1)=6),ИюнВс1+1, "")</f>
        <v>46175</v>
      </c>
      <c r="M25" s="18">
        <f>IF(AND(YEAR(ИюнВс1+2)=Год,MONTH(ИюнВс1+2)=6),ИюнВс1+2, "")</f>
        <v>46176</v>
      </c>
      <c r="N25" s="18">
        <f>IF(AND(YEAR(ИюнВс1+3)=Год,MONTH(ИюнВс1+3)=6),ИюнВс1+3, "")</f>
        <v>46177</v>
      </c>
      <c r="O25" s="18">
        <f>IF(AND(YEAR(ИюнВс1+4)=Год,MONTH(ИюнВс1+4)=6),ИюнВс1+4, "")</f>
        <v>46178</v>
      </c>
      <c r="P25" s="25">
        <f>IF(AND(YEAR(ИюнВс1+5)=Год,MONTH(ИюнВс1+5)=6),ИюнВс1+5, "")</f>
        <v>46179</v>
      </c>
      <c r="Q25" s="25">
        <f>IF(AND(YEAR(ИюнВс1+6)=Год,MONTH(ИюнВс1+6)=6),ИюнВс1+6, "")</f>
        <v>46180</v>
      </c>
      <c r="R25" s="1"/>
      <c r="S25" s="18" t="str">
        <f>IF(AND(YEAR(СенВс1)=Год,MONTH(СенВс1)=9),СенВс1, "")</f>
        <v/>
      </c>
      <c r="T25" s="18">
        <f>IF(AND(YEAR(СенВс1+1)=Год,MONTH(СенВс1+1)=9),СенВс1+1, "")</f>
        <v>46266</v>
      </c>
      <c r="U25" s="18">
        <f>IF(AND(YEAR(СенВс1+2)=Год,MONTH(СенВс1+2)=9),СенВс1+2, "")</f>
        <v>46267</v>
      </c>
      <c r="V25" s="18">
        <f>IF(AND(YEAR(СенВс1+3)=Год,MONTH(СенВс1+3)=9),СенВс1+3, "")</f>
        <v>46268</v>
      </c>
      <c r="W25" s="18">
        <f>IF(AND(YEAR(СенВс1+4)=Год,MONTH(СенВс1+4)=9),СенВс1+4, "")</f>
        <v>46269</v>
      </c>
      <c r="X25" s="25">
        <f>IF(AND(YEAR(СенВс1+5)=Год,MONTH(СенВс1+5)=9),СенВс1+5, "")</f>
        <v>46270</v>
      </c>
      <c r="Y25" s="25">
        <f>IF(AND(YEAR(СенВс1+6)=Год,MONTH(СенВс1+6)=9),СенВс1+6, "")</f>
        <v>46271</v>
      </c>
      <c r="Z25" s="1"/>
      <c r="AA25" s="18" t="str">
        <f>IF(AND(YEAR(ДекВс1)=Год,MONTH(ДекВс1)=12),ДекВс1, "")</f>
        <v/>
      </c>
      <c r="AB25" s="18">
        <f>IF(AND(YEAR(ДекВс1+1)=Год,MONTH(ДекВс1+1)=12),ДекВс1+1, "")</f>
        <v>46357</v>
      </c>
      <c r="AC25" s="18">
        <f>IF(AND(YEAR(ДекВс1+2)=Год,MONTH(ДекВс1+2)=12),ДекВс1+2, "")</f>
        <v>46358</v>
      </c>
      <c r="AD25" s="18">
        <f>IF(AND(YEAR(ДекВс1+3)=Год,MONTH(ДекВс1+3)=12),ДекВс1+3, "")</f>
        <v>46359</v>
      </c>
      <c r="AE25" s="18">
        <f>IF(AND(YEAR(ДекВс1+4)=Год,MONTH(ДекВс1+4)=12),ДекВс1+4, "")</f>
        <v>46360</v>
      </c>
      <c r="AF25" s="25">
        <f>IF(AND(YEAR(ДекВс1+5)=Год,MONTH(ДекВс1+5)=12),ДекВс1+5, "")</f>
        <v>46361</v>
      </c>
      <c r="AG25" s="25">
        <f>IF(AND(YEAR(ДекВс1+6)=Год,MONTH(ДекВс1+6)=12),ДекВс1+6, "")</f>
        <v>46362</v>
      </c>
      <c r="AH25" s="9"/>
    </row>
    <row r="26" spans="2:34" x14ac:dyDescent="0.2">
      <c r="B26" s="8"/>
      <c r="C26" s="19">
        <f>IF(AND(YEAR(МарВс1+7)=Год,MONTH(МарВс1+7)=3),МарВс1+7, "")</f>
        <v>46083</v>
      </c>
      <c r="D26" s="19">
        <f>IF(AND(YEAR(МарВс1+8)=Год,MONTH(МарВс1+8)=3),МарВс1+8, "")</f>
        <v>46084</v>
      </c>
      <c r="E26" s="19">
        <f>IF(AND(YEAR(МарВс1+9)=Год,MONTH(МарВс1+9)=3),МарВс1+9, "")</f>
        <v>46085</v>
      </c>
      <c r="F26" s="19">
        <f>IF(AND(YEAR(МарВс1+10)=Год,MONTH(МарВс1+10)=3),МарВс1+10, "")</f>
        <v>46086</v>
      </c>
      <c r="G26" s="19">
        <f>IF(AND(YEAR(МарВс1+11)=Год,MONTH(МарВс1+11)=3),МарВс1+11, "")</f>
        <v>46087</v>
      </c>
      <c r="H26" s="24">
        <f>IF(AND(YEAR(МарВс1+12)=Год,MONTH(МарВс1+12)=3),МарВс1+12, "")</f>
        <v>46088</v>
      </c>
      <c r="I26" s="24">
        <f>IF(AND(YEAR(МарВс1+13)=Год,MONTH(МарВс1+13)=3),МарВс1+13, "")</f>
        <v>46089</v>
      </c>
      <c r="J26" s="1"/>
      <c r="K26" s="19">
        <f>IF(AND(YEAR(ИюнВс1+7)=Год,MONTH(ИюнВс1+7)=6),ИюнВс1+7, "")</f>
        <v>46181</v>
      </c>
      <c r="L26" s="19">
        <f>IF(AND(YEAR(ИюнВс1+8)=Год,MONTH(ИюнВс1+8)=6),ИюнВс1+8, "")</f>
        <v>46182</v>
      </c>
      <c r="M26" s="19">
        <f>IF(AND(YEAR(ИюнВс1+9)=Год,MONTH(ИюнВс1+9)=6),ИюнВс1+9, "")</f>
        <v>46183</v>
      </c>
      <c r="N26" s="19">
        <f>IF(AND(YEAR(ИюнВс1+10)=Год,MONTH(ИюнВс1+10)=6),ИюнВс1+10, "")</f>
        <v>46184</v>
      </c>
      <c r="O26" s="24">
        <f>IF(AND(YEAR(ИюнВс1+11)=Год,MONTH(ИюнВс1+11)=6),ИюнВс1+11, "")</f>
        <v>46185</v>
      </c>
      <c r="P26" s="24">
        <f>IF(AND(YEAR(ИюнВс1+12)=Год,MONTH(ИюнВс1+12)=6),ИюнВс1+12, "")</f>
        <v>46186</v>
      </c>
      <c r="Q26" s="24">
        <f>IF(AND(YEAR(ИюнВс1+13)=Год,MONTH(ИюнВс1+13)=6),ИюнВс1+13, "")</f>
        <v>46187</v>
      </c>
      <c r="R26" s="1"/>
      <c r="S26" s="19">
        <f>IF(AND(YEAR(СенВс1+7)=Год,MONTH(СенВс1+7)=9),СенВс1+7, "")</f>
        <v>46272</v>
      </c>
      <c r="T26" s="19">
        <f>IF(AND(YEAR(СенВс1+8)=Год,MONTH(СенВс1+8)=9),СенВс1+8, "")</f>
        <v>46273</v>
      </c>
      <c r="U26" s="19">
        <f>IF(AND(YEAR(СенВс1+9)=Год,MONTH(СенВс1+9)=9),СенВс1+9, "")</f>
        <v>46274</v>
      </c>
      <c r="V26" s="19">
        <f>IF(AND(YEAR(СенВс1+10)=Год,MONTH(СенВс1+10)=9),СенВс1+10, "")</f>
        <v>46275</v>
      </c>
      <c r="W26" s="19">
        <f>IF(AND(YEAR(СенВс1+11)=Год,MONTH(СенВс1+11)=9),СенВс1+11, "")</f>
        <v>46276</v>
      </c>
      <c r="X26" s="24">
        <f>IF(AND(YEAR(СенВс1+12)=Год,MONTH(СенВс1+12)=9),СенВс1+12, "")</f>
        <v>46277</v>
      </c>
      <c r="Y26" s="24">
        <f>IF(AND(YEAR(СенВс1+13)=Год,MONTH(СенВс1+13)=9),СенВс1+13, "")</f>
        <v>46278</v>
      </c>
      <c r="Z26" s="1"/>
      <c r="AA26" s="19">
        <f>IF(AND(YEAR(ДекВс1+7)=Год,MONTH(ДекВс1+7)=12),ДекВс1+7, "")</f>
        <v>46363</v>
      </c>
      <c r="AB26" s="19">
        <f>IF(AND(YEAR(ДекВс1+8)=Год,MONTH(ДекВс1+8)=12),ДекВс1+8, "")</f>
        <v>46364</v>
      </c>
      <c r="AC26" s="19">
        <f>IF(AND(YEAR(ДекВс1+9)=Год,MONTH(ДекВс1+9)=12),ДекВс1+9, "")</f>
        <v>46365</v>
      </c>
      <c r="AD26" s="19">
        <f>IF(AND(YEAR(ДекВс1+10)=Год,MONTH(ДекВс1+10)=12),ДекВс1+10, "")</f>
        <v>46366</v>
      </c>
      <c r="AE26" s="19">
        <f>IF(AND(YEAR(ДекВс1+11)=Год,MONTH(ДекВс1+11)=12),ДекВс1+11, "")</f>
        <v>46367</v>
      </c>
      <c r="AF26" s="24">
        <f>IF(AND(YEAR(ДекВс1+12)=Год,MONTH(ДекВс1+12)=12),ДекВс1+12, "")</f>
        <v>46368</v>
      </c>
      <c r="AG26" s="24">
        <f>IF(AND(YEAR(ДекВс1+13)=Год,MONTH(ДекВс1+13)=12),ДекВс1+13, "")</f>
        <v>46369</v>
      </c>
      <c r="AH26" s="9"/>
    </row>
    <row r="27" spans="2:34" x14ac:dyDescent="0.2">
      <c r="B27" s="8"/>
      <c r="C27" s="24">
        <f>IF(AND(YEAR(МарВс1+14)=Год,MONTH(МарВс1+14)=3),МарВс1+14, "")</f>
        <v>46090</v>
      </c>
      <c r="D27" s="19">
        <f>IF(AND(YEAR(МарВс1+15)=Год,MONTH(МарВс1+15)=3),МарВс1+15, "")</f>
        <v>46091</v>
      </c>
      <c r="E27" s="19">
        <f>IF(AND(YEAR(МарВс1+16)=Год,MONTH(МарВс1+16)=3),МарВс1+16, "")</f>
        <v>46092</v>
      </c>
      <c r="F27" s="19">
        <f>IF(AND(YEAR(МарВс1+17)=Год,MONTH(МарВс1+17)=3),МарВс1+17, "")</f>
        <v>46093</v>
      </c>
      <c r="G27" s="19">
        <f>IF(AND(YEAR(МарВс1+18)=Год,MONTH(МарВс1+18)=3),МарВс1+18, "")</f>
        <v>46094</v>
      </c>
      <c r="H27" s="24">
        <f>IF(AND(YEAR(МарВс1+19)=Год,MONTH(МарВс1+19)=3),МарВс1+19, "")</f>
        <v>46095</v>
      </c>
      <c r="I27" s="24">
        <f>IF(AND(YEAR(МарВс1+20)=Год,MONTH(МарВс1+20)=3),МарВс1+20, "")</f>
        <v>46096</v>
      </c>
      <c r="J27" s="1"/>
      <c r="K27" s="19">
        <f>IF(AND(YEAR(ИюнВс1+14)=Год,MONTH(ИюнВс1+14)=6),ИюнВс1+14, "")</f>
        <v>46188</v>
      </c>
      <c r="L27" s="19">
        <f>IF(AND(YEAR(ИюнВс1+15)=Год,MONTH(ИюнВс1+15)=6),ИюнВс1+15, "")</f>
        <v>46189</v>
      </c>
      <c r="M27" s="19">
        <f>IF(AND(YEAR(ИюнВс1+16)=Год,MONTH(ИюнВс1+16)=6),ИюнВс1+16, "")</f>
        <v>46190</v>
      </c>
      <c r="N27" s="19">
        <f>IF(AND(YEAR(ИюнВс1+17)=Год,MONTH(ИюнВс1+17)=6),ИюнВс1+17, "")</f>
        <v>46191</v>
      </c>
      <c r="O27" s="19">
        <f>IF(AND(YEAR(ИюнВс1+18)=Год,MONTH(ИюнВс1+18)=6),ИюнВс1+18, "")</f>
        <v>46192</v>
      </c>
      <c r="P27" s="24">
        <f>IF(AND(YEAR(ИюнВс1+19)=Год,MONTH(ИюнВс1+19)=6),ИюнВс1+19, "")</f>
        <v>46193</v>
      </c>
      <c r="Q27" s="24">
        <f>IF(AND(YEAR(ИюнВс1+20)=Год,MONTH(ИюнВс1+20)=6),ИюнВс1+20, "")</f>
        <v>46194</v>
      </c>
      <c r="R27" s="1"/>
      <c r="S27" s="19">
        <f>IF(AND(YEAR(СенВс1+14)=Год,MONTH(СенВс1+14)=9),СенВс1+14, "")</f>
        <v>46279</v>
      </c>
      <c r="T27" s="19">
        <f>IF(AND(YEAR(СенВс1+15)=Год,MONTH(СенВс1+15)=9),СенВс1+15, "")</f>
        <v>46280</v>
      </c>
      <c r="U27" s="19">
        <f>IF(AND(YEAR(СенВс1+16)=Год,MONTH(СенВс1+16)=9),СенВс1+16, "")</f>
        <v>46281</v>
      </c>
      <c r="V27" s="19">
        <f>IF(AND(YEAR(СенВс1+17)=Год,MONTH(СенВс1+17)=9),СенВс1+17, "")</f>
        <v>46282</v>
      </c>
      <c r="W27" s="19">
        <f>IF(AND(YEAR(СенВс1+18)=Год,MONTH(СенВс1+18)=9),СенВс1+18, "")</f>
        <v>46283</v>
      </c>
      <c r="X27" s="24">
        <f>IF(AND(YEAR(СенВс1+19)=Год,MONTH(СенВс1+19)=9),СенВс1+19, "")</f>
        <v>46284</v>
      </c>
      <c r="Y27" s="24">
        <f>IF(AND(YEAR(СенВс1+20)=Год,MONTH(СенВс1+20)=9),СенВс1+20, "")</f>
        <v>46285</v>
      </c>
      <c r="Z27" s="1"/>
      <c r="AA27" s="19">
        <f>IF(AND(YEAR(ДекВс1+14)=Год,MONTH(ДекВс1+14)=12),ДекВс1+14, "")</f>
        <v>46370</v>
      </c>
      <c r="AB27" s="19">
        <f>IF(AND(YEAR(ДекВс1+15)=Год,MONTH(ДекВс1+15)=12),ДекВс1+15, "")</f>
        <v>46371</v>
      </c>
      <c r="AC27" s="19">
        <f>IF(AND(YEAR(ДекВс1+16)=Год,MONTH(ДекВс1+16)=12),ДекВс1+16, "")</f>
        <v>46372</v>
      </c>
      <c r="AD27" s="19">
        <f>IF(AND(YEAR(ДекВс1+17)=Год,MONTH(ДекВс1+17)=12),ДекВс1+17, "")</f>
        <v>46373</v>
      </c>
      <c r="AE27" s="19">
        <f>IF(AND(YEAR(ДекВс1+18)=Год,MONTH(ДекВс1+18)=12),ДекВс1+18, "")</f>
        <v>46374</v>
      </c>
      <c r="AF27" s="24">
        <f>IF(AND(YEAR(ДекВс1+19)=Год,MONTH(ДекВс1+19)=12),ДекВс1+19, "")</f>
        <v>46375</v>
      </c>
      <c r="AG27" s="24">
        <f>IF(AND(YEAR(ДекВс1+20)=Год,MONTH(ДекВс1+20)=12),ДекВс1+20, "")</f>
        <v>46376</v>
      </c>
      <c r="AH27" s="9"/>
    </row>
    <row r="28" spans="2:34" x14ac:dyDescent="0.2">
      <c r="B28" s="8"/>
      <c r="C28" s="19">
        <f>IF(AND(YEAR(МарВс1+21)=Год,MONTH(МарВс1+21)=3),МарВс1+21, "")</f>
        <v>46097</v>
      </c>
      <c r="D28" s="19">
        <f>IF(AND(YEAR(МарВс1+22)=Год,MONTH(МарВс1+22)=3),МарВс1+22, "")</f>
        <v>46098</v>
      </c>
      <c r="E28" s="19">
        <f>IF(AND(YEAR(МарВс1+23)=Год,MONTH(МарВс1+23)=3),МарВс1+23, "")</f>
        <v>46099</v>
      </c>
      <c r="F28" s="19">
        <f>IF(AND(YEAR(МарВс1+24)=Год,MONTH(МарВс1+24)=3),МарВс1+24, "")</f>
        <v>46100</v>
      </c>
      <c r="G28" s="19">
        <f>IF(AND(YEAR(МарВс1+25)=Год,MONTH(МарВс1+25)=3),МарВс1+25, "")</f>
        <v>46101</v>
      </c>
      <c r="H28" s="24">
        <f>IF(AND(YEAR(МарВс1+26)=Год,MONTH(МарВс1+26)=3),МарВс1+26, "")</f>
        <v>46102</v>
      </c>
      <c r="I28" s="24">
        <f>IF(AND(YEAR(МарВс1+27)=Год,MONTH(МарВс1+27)=3),МарВс1+27, "")</f>
        <v>46103</v>
      </c>
      <c r="J28" s="1"/>
      <c r="K28" s="19">
        <f>IF(AND(YEAR(ИюнВс1+21)=Год,MONTH(ИюнВс1+21)=6),ИюнВс1+21, "")</f>
        <v>46195</v>
      </c>
      <c r="L28" s="19">
        <f>IF(AND(YEAR(ИюнВс1+22)=Год,MONTH(ИюнВс1+22)=6),ИюнВс1+22, "")</f>
        <v>46196</v>
      </c>
      <c r="M28" s="19">
        <f>IF(AND(YEAR(ИюнВс1+23)=Год,MONTH(ИюнВс1+23)=6),ИюнВс1+23, "")</f>
        <v>46197</v>
      </c>
      <c r="N28" s="19">
        <f>IF(AND(YEAR(ИюнВс1+24)=Год,MONTH(ИюнВс1+24)=6),ИюнВс1+24, "")</f>
        <v>46198</v>
      </c>
      <c r="O28" s="19">
        <f>IF(AND(YEAR(ИюнВс1+25)=Год,MONTH(ИюнВс1+25)=6),ИюнВс1+25, "")</f>
        <v>46199</v>
      </c>
      <c r="P28" s="24">
        <f>IF(AND(YEAR(ИюнВс1+26)=Год,MONTH(ИюнВс1+26)=6),ИюнВс1+26, "")</f>
        <v>46200</v>
      </c>
      <c r="Q28" s="24">
        <f>IF(AND(YEAR(ИюнВс1+27)=Год,MONTH(ИюнВс1+27)=6),ИюнВс1+27, "")</f>
        <v>46201</v>
      </c>
      <c r="R28" s="1"/>
      <c r="S28" s="19">
        <f>IF(AND(YEAR(СенВс1+21)=Год,MONTH(СенВс1+21)=9),СенВс1+21, "")</f>
        <v>46286</v>
      </c>
      <c r="T28" s="19">
        <f>IF(AND(YEAR(СенВс1+22)=Год,MONTH(СенВс1+22)=9),СенВс1+22, "")</f>
        <v>46287</v>
      </c>
      <c r="U28" s="19">
        <f>IF(AND(YEAR(СенВс1+23)=Год,MONTH(СенВс1+23)=9),СенВс1+23, "")</f>
        <v>46288</v>
      </c>
      <c r="V28" s="19">
        <f>IF(AND(YEAR(СенВс1+24)=Год,MONTH(СенВс1+24)=9),СенВс1+24, "")</f>
        <v>46289</v>
      </c>
      <c r="W28" s="19">
        <f>IF(AND(YEAR(СенВс1+25)=Год,MONTH(СенВс1+25)=9),СенВс1+25, "")</f>
        <v>46290</v>
      </c>
      <c r="X28" s="24">
        <f>IF(AND(YEAR(СенВс1+26)=Год,MONTH(СенВс1+26)=9),СенВс1+26, "")</f>
        <v>46291</v>
      </c>
      <c r="Y28" s="24">
        <f>IF(AND(YEAR(СенВс1+27)=Год,MONTH(СенВс1+27)=9),СенВс1+27, "")</f>
        <v>46292</v>
      </c>
      <c r="Z28" s="1"/>
      <c r="AA28" s="19">
        <f>IF(AND(YEAR(ДекВс1+21)=Год,MONTH(ДекВс1+21)=12),ДекВс1+21, "")</f>
        <v>46377</v>
      </c>
      <c r="AB28" s="19">
        <f>IF(AND(YEAR(ДекВс1+22)=Год,MONTH(ДекВс1+22)=12),ДекВс1+22, "")</f>
        <v>46378</v>
      </c>
      <c r="AC28" s="19">
        <f>IF(AND(YEAR(ДекВс1+23)=Год,MONTH(ДекВс1+23)=12),ДекВс1+23, "")</f>
        <v>46379</v>
      </c>
      <c r="AD28" s="19">
        <f>IF(AND(YEAR(ДекВс1+24)=Год,MONTH(ДекВс1+24)=12),ДекВс1+24, "")</f>
        <v>46380</v>
      </c>
      <c r="AE28" s="19">
        <f>IF(AND(YEAR(ДекВс1+25)=Год,MONTH(ДекВс1+25)=12),ДекВс1+25, "")</f>
        <v>46381</v>
      </c>
      <c r="AF28" s="24">
        <f>IF(AND(YEAR(ДекВс1+26)=Год,MONTH(ДекВс1+26)=12),ДекВс1+26, "")</f>
        <v>46382</v>
      </c>
      <c r="AG28" s="24">
        <f>IF(AND(YEAR(ДекВс1+27)=Год,MONTH(ДекВс1+27)=12),ДекВс1+27, "")</f>
        <v>46383</v>
      </c>
      <c r="AH28" s="9"/>
    </row>
    <row r="29" spans="2:34" x14ac:dyDescent="0.2">
      <c r="B29" s="8"/>
      <c r="C29" s="19">
        <f>IF(AND(YEAR(МарВс1+28)=Год,MONTH(МарВс1+28)=3),МарВс1+28, "")</f>
        <v>46104</v>
      </c>
      <c r="D29" s="19">
        <f>IF(AND(YEAR(МарВс1+29)=Год,MONTH(МарВс1+29)=3),МарВс1+29, "")</f>
        <v>46105</v>
      </c>
      <c r="E29" s="19">
        <f>IF(AND(YEAR(МарВс1+30)=Год,MONTH(МарВс1+30)=3),МарВс1+30, "")</f>
        <v>46106</v>
      </c>
      <c r="F29" s="19">
        <f>IF(AND(YEAR(МарВс1+31)=Год,MONTH(МарВс1+31)=3),МарВс1+31, "")</f>
        <v>46107</v>
      </c>
      <c r="G29" s="19">
        <f>IF(AND(YEAR(МарВс1+32)=Год,MONTH(МарВс1+32)=3),МарВс1+32, "")</f>
        <v>46108</v>
      </c>
      <c r="H29" s="24">
        <f>IF(AND(YEAR(МарВс1+33)=Год,MONTH(МарВс1+33)=3),МарВс1+33, "")</f>
        <v>46109</v>
      </c>
      <c r="I29" s="24">
        <f>IF(AND(YEAR(МарВс1+34)=Год,MONTH(МарВс1+34)=3),МарВс1+34, "")</f>
        <v>46110</v>
      </c>
      <c r="J29" s="1"/>
      <c r="K29" s="19">
        <f>IF(AND(YEAR(ИюнВс1+28)=Год,MONTH(ИюнВс1+28)=6),ИюнВс1+28, "")</f>
        <v>46202</v>
      </c>
      <c r="L29" s="19">
        <f>IF(AND(YEAR(ИюнВс1+29)=Год,MONTH(ИюнВс1+29)=6),ИюнВс1+29, "")</f>
        <v>46203</v>
      </c>
      <c r="M29" s="19" t="str">
        <f>IF(AND(YEAR(ИюнВс1+30)=Год,MONTH(ИюнВс1+30)=6),ИюнВс1+30, "")</f>
        <v/>
      </c>
      <c r="N29" s="19" t="str">
        <f>IF(AND(YEAR(ИюнВс1+31)=Год,MONTH(ИюнВс1+31)=6),ИюнВс1+31, "")</f>
        <v/>
      </c>
      <c r="O29" s="19" t="str">
        <f>IF(AND(YEAR(ИюнВс1+32)=Год,MONTH(ИюнВс1+32)=6),ИюнВс1+32, "")</f>
        <v/>
      </c>
      <c r="P29" s="19" t="str">
        <f>IF(AND(YEAR(ИюнВс1+33)=Год,MONTH(ИюнВс1+33)=6),ИюнВс1+33, "")</f>
        <v/>
      </c>
      <c r="Q29" s="19" t="str">
        <f>IF(AND(YEAR(ИюнВс1+34)=Год,MONTH(ИюнВс1+34)=6),ИюнВс1+34, "")</f>
        <v/>
      </c>
      <c r="R29" s="1"/>
      <c r="S29" s="19">
        <f>IF(AND(YEAR(СенВс1+28)=Год,MONTH(СенВс1+28)=9),СенВс1+28, "")</f>
        <v>46293</v>
      </c>
      <c r="T29" s="19">
        <f>IF(AND(YEAR(СенВс1+29)=Год,MONTH(СенВс1+29)=9),СенВс1+29, "")</f>
        <v>46294</v>
      </c>
      <c r="U29" s="19">
        <f>IF(AND(YEAR(СенВс1+30)=Год,MONTH(СенВс1+30)=9),СенВс1+30, "")</f>
        <v>46295</v>
      </c>
      <c r="V29" s="19" t="str">
        <f>IF(AND(YEAR(СенВс1+31)=Год,MONTH(СенВс1+31)=9),СенВс1+31, "")</f>
        <v/>
      </c>
      <c r="W29" s="19" t="str">
        <f>IF(AND(YEAR(СенВс1+32)=Год,MONTH(СенВс1+32)=9),СенВс1+32, "")</f>
        <v/>
      </c>
      <c r="X29" s="19" t="str">
        <f>IF(AND(YEAR(СенВс1+33)=Год,MONTH(СенВс1+33)=9),СенВс1+33, "")</f>
        <v/>
      </c>
      <c r="Y29" s="19" t="str">
        <f>IF(AND(YEAR(СенВс1+34)=Год,MONTH(СенВс1+34)=9),СенВс1+34, "")</f>
        <v/>
      </c>
      <c r="Z29" s="1"/>
      <c r="AA29" s="19">
        <f>IF(AND(YEAR(ДекВс1+28)=Год,MONTH(ДекВс1+28)=12),ДекВс1+28, "")</f>
        <v>46384</v>
      </c>
      <c r="AB29" s="19">
        <f>IF(AND(YEAR(ДекВс1+29)=Год,MONTH(ДекВс1+29)=12),ДекВс1+29, "")</f>
        <v>46385</v>
      </c>
      <c r="AC29" s="19">
        <f>IF(AND(YEAR(ДекВс1+30)=Год,MONTH(ДекВс1+30)=12),ДекВс1+30, "")</f>
        <v>46386</v>
      </c>
      <c r="AD29" s="24">
        <f>IF(AND(YEAR(ДекВс1+31)=Год,MONTH(ДекВс1+31)=12),ДекВс1+31, "")</f>
        <v>46387</v>
      </c>
      <c r="AE29" s="19" t="str">
        <f>IF(AND(YEAR(ДекВс1+32)=Год,MONTH(ДекВс1+32)=12),ДекВс1+32, "")</f>
        <v/>
      </c>
      <c r="AF29" s="19" t="str">
        <f>IF(AND(YEAR(ДекВс1+33)=Год,MONTH(ДекВс1+33)=12),ДекВс1+33, "")</f>
        <v/>
      </c>
      <c r="AG29" s="19" t="str">
        <f>IF(AND(YEAR(ДекВс1+34)=Год,MONTH(ДекВс1+34)=12),ДекВс1+34, "")</f>
        <v/>
      </c>
      <c r="AH29" s="9"/>
    </row>
    <row r="30" spans="2:34" x14ac:dyDescent="0.2">
      <c r="B30" s="8"/>
      <c r="C30" s="19">
        <f>IF(AND(YEAR(МарВс1+35)=Год,MONTH(МарВс1+35)=3),МарВс1+35, "")</f>
        <v>46111</v>
      </c>
      <c r="D30" s="19">
        <f>IF(AND(YEAR(МарВс1+36)=Год,MONTH(МарВс1+36)=3),МарВс1+36, "")</f>
        <v>46112</v>
      </c>
      <c r="E30" s="19" t="str">
        <f>IF(AND(YEAR(МарВс1+37)=Год,MONTH(МарВс1+37)=3),МарВс1+37, "")</f>
        <v/>
      </c>
      <c r="F30" s="19" t="str">
        <f>IF(AND(YEAR(МарВс1+38)=Год,MONTH(МарВс1+38)=3),МарВс1+38, "")</f>
        <v/>
      </c>
      <c r="G30" s="19" t="str">
        <f>IF(AND(YEAR(МарВс1+39)=Год,MONTH(МарВс1+39)=3),МарВс1+39, "")</f>
        <v/>
      </c>
      <c r="H30" s="19" t="str">
        <f>IF(AND(YEAR(МарВс1+40)=Год,MONTH(МарВс1+40)=3),МарВс1+40, "")</f>
        <v/>
      </c>
      <c r="I30" s="19" t="str">
        <f>IF(AND(YEAR(МарВс1+41)=Год,MONTH(МарВс1+41)=3),МарВс1+41, "")</f>
        <v/>
      </c>
      <c r="J30" s="2"/>
      <c r="K30" s="19" t="str">
        <f>IF(AND(YEAR(ИюнВс1+35)=Год,MONTH(ИюнВс1+35)=6),ИюнВс1+35, "")</f>
        <v/>
      </c>
      <c r="L30" s="19" t="str">
        <f>IF(AND(YEAR(ИюнВс1+36)=Год,MONTH(ИюнВс1+36)=6),ИюнВс1+36, "")</f>
        <v/>
      </c>
      <c r="M30" s="19" t="str">
        <f>IF(AND(YEAR(ИюнВс1+37)=Год,MONTH(ИюнВс1+37)=6),ИюнВс1+37, "")</f>
        <v/>
      </c>
      <c r="N30" s="19" t="str">
        <f>IF(AND(YEAR(ИюнВс1+38)=Год,MONTH(ИюнВс1+38)=6),ИюнВс1+38, "")</f>
        <v/>
      </c>
      <c r="O30" s="19" t="str">
        <f>IF(AND(YEAR(ИюнВс1+39)=Год,MONTH(ИюнВс1+39)=6),ИюнВс1+39, "")</f>
        <v/>
      </c>
      <c r="P30" s="19" t="str">
        <f>IF(AND(YEAR(ИюнВс1+40)=Год,MONTH(ИюнВс1+40)=6),ИюнВс1+40, "")</f>
        <v/>
      </c>
      <c r="Q30" s="19" t="str">
        <f>IF(AND(YEAR(ИюнВс1+41)=Год,MONTH(ИюнВс1+41)=6),ИюнВс1+41, "")</f>
        <v/>
      </c>
      <c r="R30" s="2"/>
      <c r="S30" s="19" t="str">
        <f>IF(AND(YEAR(СенВс1+35)=Год,MONTH(СенВс1+35)=9),СенВс1+35, "")</f>
        <v/>
      </c>
      <c r="T30" s="19" t="str">
        <f>IF(AND(YEAR(СенВс1+36)=Год,MONTH(СенВс1+36)=9),СенВс1+36, "")</f>
        <v/>
      </c>
      <c r="U30" s="19" t="str">
        <f>IF(AND(YEAR(СенВс1+37)=Год,MONTH(СенВс1+37)=9),СенВс1+37, "")</f>
        <v/>
      </c>
      <c r="V30" s="19" t="str">
        <f>IF(AND(YEAR(СенВс1+38)=Год,MONTH(СенВс1+38)=9),СенВс1+38, "")</f>
        <v/>
      </c>
      <c r="W30" s="19" t="str">
        <f>IF(AND(YEAR(СенВс1+39)=Год,MONTH(СенВс1+39)=9),СенВс1+39, "")</f>
        <v/>
      </c>
      <c r="X30" s="19" t="str">
        <f>IF(AND(YEAR(СенВс1+40)=Год,MONTH(СенВс1+40)=9),СенВс1+40, "")</f>
        <v/>
      </c>
      <c r="Y30" s="19" t="str">
        <f>IF(AND(YEAR(СенВс1+41)=Год,MONTH(СенВс1+41)=9),СенВс1+41, "")</f>
        <v/>
      </c>
      <c r="Z30" s="2"/>
      <c r="AA30" s="19" t="str">
        <f>IF(AND(YEAR(ДекВс1+35)=Год,MONTH(ДекВс1+35)=12),ДекВс1+35, "")</f>
        <v/>
      </c>
      <c r="AB30" s="19" t="str">
        <f>IF(AND(YEAR(ДекВс1+36)=Год,MONTH(ДекВс1+36)=12),ДекВс1+36, "")</f>
        <v/>
      </c>
      <c r="AC30" s="19" t="str">
        <f>IF(AND(YEAR(ДекВс1+37)=Год,MONTH(ДекВс1+37)=12),ДекВс1+37, "")</f>
        <v/>
      </c>
      <c r="AD30" s="19" t="str">
        <f>IF(AND(YEAR(ДекВс1+38)=Год,MONTH(ДекВс1+38)=12),ДекВс1+38, "")</f>
        <v/>
      </c>
      <c r="AE30" s="19" t="str">
        <f>IF(AND(YEAR(ДекВс1+39)=Год,MONTH(ДекВс1+39)=12),ДекВс1+39, "")</f>
        <v/>
      </c>
      <c r="AF30" s="19" t="str">
        <f>IF(AND(YEAR(ДекВс1+40)=Год,MONTH(ДекВс1+40)=12),ДекВс1+40, "")</f>
        <v/>
      </c>
      <c r="AG30" s="19" t="str">
        <f>IF(AND(YEAR(ДекВс1+41)=Год,MONTH(ДекВс1+41)=12),ДекВс1+41, "")</f>
        <v/>
      </c>
      <c r="AH30" s="9"/>
    </row>
    <row r="31" spans="2:34" ht="13.5" customHeight="1" thickBot="1" x14ac:dyDescent="0.25"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2"/>
    </row>
    <row r="32" spans="2:34" ht="13.5" thickTop="1" x14ac:dyDescent="0.2"/>
  </sheetData>
  <mergeCells count="15">
    <mergeCell ref="B2:AH3"/>
    <mergeCell ref="C5:I5"/>
    <mergeCell ref="K5:Q5"/>
    <mergeCell ref="S5:Y5"/>
    <mergeCell ref="AA5:AG5"/>
    <mergeCell ref="AJ4:AK4"/>
    <mergeCell ref="AJ9:AK9"/>
    <mergeCell ref="C23:I23"/>
    <mergeCell ref="K23:Q23"/>
    <mergeCell ref="S23:Y23"/>
    <mergeCell ref="AA23:AG23"/>
    <mergeCell ref="C14:I14"/>
    <mergeCell ref="K14:Q14"/>
    <mergeCell ref="S14:Y14"/>
    <mergeCell ref="AA14:AG14"/>
  </mergeCells>
  <conditionalFormatting sqref="C5:AG30">
    <cfRule type="containsErrors" dxfId="1" priority="1">
      <formula>ISERROR(C5)</formula>
    </cfRule>
    <cfRule type="containsBlanks" dxfId="0" priority="2">
      <formula>LEN(TRIM(C5))=0</formula>
    </cfRule>
  </conditionalFormatting>
  <dataValidations count="1">
    <dataValidation type="whole" allowBlank="1" showInputMessage="1" showErrorMessage="1" errorTitle="Недопустимый год" error="Введите год от 1900 до 9999 или найдите нужный год с помощью полосы прокрутки." sqref="B2:AH3">
      <formula1>1900</formula1>
      <formula2>9999</formula2>
    </dataValidation>
  </dataValidations>
  <printOptions horizontalCentered="1" verticalCentered="1"/>
  <pageMargins left="0.5" right="0.5" top="0.5" bottom="0.5" header="0.3" footer="0.3"/>
  <pageSetup paperSize="9" orientation="landscape" horizontalDpi="300" verticalDpi="300" r:id="rId1"/>
  <drawing r:id="rId2"/>
  <legacyDrawing r:id="rId3"/>
  <controls>
    <mc:AlternateContent xmlns:mc="http://schemas.openxmlformats.org/markup-compatibility/2006">
      <mc:Choice Requires="x14">
        <control shapeId="5121" r:id="rId4" name="ПолосаПрокрутки1">
          <controlPr print="0" autoFill="0" autoLine="0" altText="" linkedCell="B2" r:id="rId5">
            <anchor>
              <from>
                <xdr:col>1</xdr:col>
                <xdr:colOff>19050</xdr:colOff>
                <xdr:row>0</xdr:row>
                <xdr:rowOff>66675</xdr:rowOff>
              </from>
              <to>
                <xdr:col>7</xdr:col>
                <xdr:colOff>85725</xdr:colOff>
                <xdr:row>0</xdr:row>
                <xdr:rowOff>238125</xdr:rowOff>
              </to>
            </anchor>
          </controlPr>
        </control>
      </mc:Choice>
      <mc:Fallback>
        <control shapeId="5121" r:id="rId4" name="ПолосаПрокрутки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2023</vt:lpstr>
      <vt:lpstr>2024</vt:lpstr>
      <vt:lpstr>2025</vt:lpstr>
      <vt:lpstr>2026</vt:lpstr>
      <vt:lpstr>'2024'!Год</vt:lpstr>
      <vt:lpstr>'2025'!Год</vt:lpstr>
      <vt:lpstr>'2026'!Год</vt:lpstr>
      <vt:lpstr>Год</vt:lpstr>
      <vt:lpstr>'2023'!Область_печати</vt:lpstr>
      <vt:lpstr>'2024'!Область_печати</vt:lpstr>
      <vt:lpstr>'2025'!Область_печати</vt:lpstr>
      <vt:lpstr>'2026'!Область_печати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Окунев Николай Сергеевич</dc:creator>
  <cp:lastModifiedBy>Пользователь</cp:lastModifiedBy>
  <dcterms:created xsi:type="dcterms:W3CDTF">2017-11-29T09:28:09Z</dcterms:created>
  <dcterms:modified xsi:type="dcterms:W3CDTF">2025-12-18T09:02:51Z</dcterms:modified>
</cp:coreProperties>
</file>