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Табель" sheetId="4" r:id="rId1"/>
    <sheet name="ЗП АУП" sheetId="5" r:id="rId2"/>
    <sheet name="БалансРабВрем  " sheetId="6" r:id="rId3"/>
    <sheet name="Calendar" sheetId="1" state="hidden" r:id="rId4"/>
    <sheet name="Праздники" sheetId="2" state="hidden" r:id="rId5"/>
  </sheets>
  <definedNames>
    <definedName name="Calendar">Табель!DaysAndWeeks</definedName>
    <definedName name="CalendarYear">Calendar!$A$1</definedName>
    <definedName name="DaysAndWeeks" localSheetId="0">{0,1,2,3,4,5,6,7,8,9,10,11,12,13,14,15,16,17,18,19,20,21,22,23,24,25,26,27,28,29,30,31}</definedName>
    <definedName name="DaysAndWeeks">{0,1,2,3,4,5,6,7,8,9,10,11,12,13,14,15,16,17,18,19,20,21,22,23,24,25,26,27,28,29,30,31}</definedName>
    <definedName name="должность">'ЗП АУП'!$S$5:$S$14</definedName>
    <definedName name="_xlnm.Print_Area" localSheetId="0">Табель!$A$1:$AL$31</definedName>
  </definedNames>
  <calcPr calcId="152511"/>
</workbook>
</file>

<file path=xl/calcChain.xml><?xml version="1.0" encoding="utf-8"?>
<calcChain xmlns="http://schemas.openxmlformats.org/spreadsheetml/2006/main">
  <c r="AK12" i="4" l="1"/>
  <c r="AK13" i="4"/>
  <c r="AK14" i="4"/>
  <c r="AK15" i="4"/>
  <c r="AK16" i="4"/>
  <c r="AK17" i="4"/>
  <c r="AK18" i="4"/>
  <c r="AK19" i="4"/>
  <c r="AK20" i="4"/>
  <c r="AK21" i="4"/>
  <c r="AK22" i="4"/>
  <c r="AK23" i="4"/>
  <c r="AK24" i="4"/>
  <c r="AK25" i="4"/>
  <c r="AK26" i="4"/>
  <c r="C2" i="4" l="1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5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12" i="4"/>
  <c r="AL13" i="4"/>
  <c r="AL14" i="4"/>
  <c r="AL15" i="4"/>
  <c r="AL16" i="4"/>
  <c r="AL17" i="4"/>
  <c r="AL18" i="4"/>
  <c r="AL19" i="4"/>
  <c r="AL20" i="4"/>
  <c r="AL21" i="4"/>
  <c r="AL22" i="4"/>
  <c r="AL23" i="4"/>
  <c r="AL24" i="4"/>
  <c r="AL25" i="4"/>
  <c r="AL26" i="4"/>
  <c r="AD8" i="5"/>
  <c r="T8" i="5"/>
  <c r="T13" i="5"/>
  <c r="U8" i="5"/>
  <c r="U13" i="5"/>
  <c r="F14" i="5"/>
  <c r="U14" i="5" s="1"/>
  <c r="E14" i="5"/>
  <c r="T14" i="5" s="1"/>
  <c r="E5" i="5"/>
  <c r="T5" i="5" s="1"/>
  <c r="P13" i="5"/>
  <c r="AE13" i="5" s="1"/>
  <c r="E9" i="5"/>
  <c r="T9" i="5" s="1"/>
  <c r="P14" i="5"/>
  <c r="AE14" i="5" s="1"/>
  <c r="O14" i="5"/>
  <c r="AD14" i="5" s="1"/>
  <c r="N14" i="5"/>
  <c r="AC14" i="5" s="1"/>
  <c r="M14" i="5"/>
  <c r="AB14" i="5" s="1"/>
  <c r="L14" i="5"/>
  <c r="AA14" i="5" s="1"/>
  <c r="K14" i="5"/>
  <c r="Z14" i="5" s="1"/>
  <c r="J14" i="5"/>
  <c r="Y14" i="5" s="1"/>
  <c r="I14" i="5"/>
  <c r="X14" i="5" s="1"/>
  <c r="H14" i="5"/>
  <c r="W14" i="5" s="1"/>
  <c r="G14" i="5"/>
  <c r="V14" i="5" s="1"/>
  <c r="O13" i="5"/>
  <c r="AD13" i="5" s="1"/>
  <c r="N13" i="5"/>
  <c r="AC13" i="5" s="1"/>
  <c r="M13" i="5"/>
  <c r="AB13" i="5" s="1"/>
  <c r="L13" i="5"/>
  <c r="AA13" i="5" s="1"/>
  <c r="K13" i="5"/>
  <c r="Z13" i="5" s="1"/>
  <c r="J13" i="5"/>
  <c r="Y13" i="5" s="1"/>
  <c r="I13" i="5"/>
  <c r="X13" i="5" s="1"/>
  <c r="H13" i="5"/>
  <c r="W13" i="5" s="1"/>
  <c r="G13" i="5"/>
  <c r="V13" i="5" s="1"/>
  <c r="P12" i="5"/>
  <c r="AE12" i="5" s="1"/>
  <c r="O12" i="5"/>
  <c r="AD12" i="5" s="1"/>
  <c r="N12" i="5"/>
  <c r="AC12" i="5" s="1"/>
  <c r="M12" i="5"/>
  <c r="AB12" i="5" s="1"/>
  <c r="L12" i="5"/>
  <c r="AA12" i="5" s="1"/>
  <c r="K12" i="5"/>
  <c r="Z12" i="5" s="1"/>
  <c r="J12" i="5"/>
  <c r="Y12" i="5" s="1"/>
  <c r="I12" i="5"/>
  <c r="X12" i="5" s="1"/>
  <c r="H12" i="5"/>
  <c r="W12" i="5" s="1"/>
  <c r="G12" i="5"/>
  <c r="V12" i="5" s="1"/>
  <c r="F12" i="5"/>
  <c r="U12" i="5" s="1"/>
  <c r="E12" i="5"/>
  <c r="T12" i="5" s="1"/>
  <c r="P11" i="5"/>
  <c r="AE11" i="5" s="1"/>
  <c r="O11" i="5"/>
  <c r="AD11" i="5" s="1"/>
  <c r="N11" i="5"/>
  <c r="AC11" i="5" s="1"/>
  <c r="M11" i="5"/>
  <c r="AB11" i="5" s="1"/>
  <c r="L11" i="5"/>
  <c r="AA11" i="5" s="1"/>
  <c r="K11" i="5"/>
  <c r="Z11" i="5" s="1"/>
  <c r="J11" i="5"/>
  <c r="Y11" i="5" s="1"/>
  <c r="I11" i="5"/>
  <c r="X11" i="5" s="1"/>
  <c r="H11" i="5"/>
  <c r="W11" i="5" s="1"/>
  <c r="G11" i="5"/>
  <c r="V11" i="5" s="1"/>
  <c r="F11" i="5"/>
  <c r="U11" i="5" s="1"/>
  <c r="E11" i="5"/>
  <c r="T11" i="5" s="1"/>
  <c r="P10" i="5"/>
  <c r="AE10" i="5" s="1"/>
  <c r="O10" i="5"/>
  <c r="AD10" i="5" s="1"/>
  <c r="N10" i="5"/>
  <c r="AC10" i="5" s="1"/>
  <c r="M10" i="5"/>
  <c r="AB10" i="5" s="1"/>
  <c r="L10" i="5"/>
  <c r="AA10" i="5" s="1"/>
  <c r="K10" i="5"/>
  <c r="Z10" i="5" s="1"/>
  <c r="J10" i="5"/>
  <c r="Y10" i="5" s="1"/>
  <c r="I10" i="5"/>
  <c r="X10" i="5" s="1"/>
  <c r="H10" i="5"/>
  <c r="W10" i="5" s="1"/>
  <c r="G10" i="5"/>
  <c r="V10" i="5" s="1"/>
  <c r="F10" i="5"/>
  <c r="U10" i="5" s="1"/>
  <c r="E10" i="5"/>
  <c r="T10" i="5" s="1"/>
  <c r="P8" i="5"/>
  <c r="AE8" i="5" s="1"/>
  <c r="N8" i="5"/>
  <c r="AC8" i="5" s="1"/>
  <c r="M8" i="5"/>
  <c r="AB8" i="5" s="1"/>
  <c r="L8" i="5"/>
  <c r="AA8" i="5" s="1"/>
  <c r="K8" i="5"/>
  <c r="Z8" i="5" s="1"/>
  <c r="J8" i="5"/>
  <c r="Y8" i="5" s="1"/>
  <c r="I8" i="5"/>
  <c r="X8" i="5" s="1"/>
  <c r="H8" i="5"/>
  <c r="W8" i="5" s="1"/>
  <c r="G8" i="5"/>
  <c r="V8" i="5" s="1"/>
  <c r="P7" i="5"/>
  <c r="AE7" i="5" s="1"/>
  <c r="O7" i="5"/>
  <c r="AD7" i="5" s="1"/>
  <c r="N7" i="5"/>
  <c r="AC7" i="5" s="1"/>
  <c r="M7" i="5"/>
  <c r="AB7" i="5" s="1"/>
  <c r="L7" i="5"/>
  <c r="AA7" i="5" s="1"/>
  <c r="K7" i="5"/>
  <c r="Z7" i="5" s="1"/>
  <c r="J7" i="5"/>
  <c r="Y7" i="5" s="1"/>
  <c r="I7" i="5"/>
  <c r="X7" i="5" s="1"/>
  <c r="H7" i="5"/>
  <c r="W7" i="5" s="1"/>
  <c r="G7" i="5"/>
  <c r="V7" i="5" s="1"/>
  <c r="F7" i="5"/>
  <c r="U7" i="5" s="1"/>
  <c r="E7" i="5"/>
  <c r="T7" i="5" s="1"/>
  <c r="P6" i="5"/>
  <c r="AE6" i="5" s="1"/>
  <c r="O6" i="5"/>
  <c r="AD6" i="5" s="1"/>
  <c r="N6" i="5"/>
  <c r="AC6" i="5" s="1"/>
  <c r="M6" i="5"/>
  <c r="AB6" i="5" s="1"/>
  <c r="L6" i="5"/>
  <c r="AA6" i="5" s="1"/>
  <c r="K6" i="5"/>
  <c r="Z6" i="5" s="1"/>
  <c r="J6" i="5"/>
  <c r="Y6" i="5" s="1"/>
  <c r="I6" i="5"/>
  <c r="X6" i="5" s="1"/>
  <c r="H6" i="5"/>
  <c r="W6" i="5" s="1"/>
  <c r="G6" i="5"/>
  <c r="V6" i="5" s="1"/>
  <c r="F6" i="5"/>
  <c r="U6" i="5" s="1"/>
  <c r="E6" i="5"/>
  <c r="T6" i="5" s="1"/>
  <c r="P5" i="5"/>
  <c r="AE5" i="5" s="1"/>
  <c r="O5" i="5"/>
  <c r="AD5" i="5" s="1"/>
  <c r="N5" i="5"/>
  <c r="AC5" i="5" s="1"/>
  <c r="M5" i="5"/>
  <c r="AB5" i="5" s="1"/>
  <c r="L5" i="5"/>
  <c r="AA5" i="5" s="1"/>
  <c r="K5" i="5"/>
  <c r="Z5" i="5" s="1"/>
  <c r="J5" i="5"/>
  <c r="Y5" i="5" s="1"/>
  <c r="I5" i="5"/>
  <c r="X5" i="5" s="1"/>
  <c r="H5" i="5"/>
  <c r="W5" i="5" s="1"/>
  <c r="G5" i="5"/>
  <c r="V5" i="5" s="1"/>
  <c r="F5" i="5"/>
  <c r="U5" i="5" s="1"/>
  <c r="O9" i="5" l="1"/>
  <c r="AD9" i="5" s="1"/>
  <c r="K9" i="5"/>
  <c r="Z9" i="5" s="1"/>
  <c r="G9" i="5"/>
  <c r="V9" i="5" s="1"/>
  <c r="F9" i="5"/>
  <c r="U9" i="5" s="1"/>
  <c r="M9" i="5"/>
  <c r="AB9" i="5" s="1"/>
  <c r="I9" i="5"/>
  <c r="X9" i="5" s="1"/>
  <c r="P9" i="5"/>
  <c r="AE9" i="5" s="1"/>
  <c r="N9" i="5"/>
  <c r="AC9" i="5" s="1"/>
  <c r="L9" i="5"/>
  <c r="AA9" i="5" s="1"/>
  <c r="J9" i="5"/>
  <c r="Y9" i="5" s="1"/>
  <c r="H9" i="5"/>
  <c r="W9" i="5" s="1"/>
  <c r="AJ12" i="4"/>
  <c r="AY34" i="4"/>
  <c r="A14" i="4"/>
  <c r="AI14" i="4" s="1"/>
  <c r="A13" i="4"/>
  <c r="AI13" i="4" s="1"/>
  <c r="A15" i="4"/>
  <c r="AI15" i="4" s="1"/>
  <c r="A16" i="4"/>
  <c r="A17" i="4"/>
  <c r="AI17" i="4" s="1"/>
  <c r="A18" i="4"/>
  <c r="AI18" i="4" s="1"/>
  <c r="A19" i="4"/>
  <c r="AI19" i="4" s="1"/>
  <c r="A20" i="4"/>
  <c r="AJ20" i="4" s="1"/>
  <c r="A21" i="4"/>
  <c r="AI21" i="4" s="1"/>
  <c r="A22" i="4"/>
  <c r="AI22" i="4" s="1"/>
  <c r="A23" i="4"/>
  <c r="AI23" i="4" s="1"/>
  <c r="A24" i="4"/>
  <c r="AJ24" i="4" s="1"/>
  <c r="A25" i="4"/>
  <c r="AI25" i="4" s="1"/>
  <c r="A26" i="4"/>
  <c r="AI26" i="4" s="1"/>
  <c r="AJ16" i="4" l="1"/>
  <c r="AI16" i="4"/>
  <c r="AL12" i="4"/>
  <c r="AL27" i="4" s="1"/>
  <c r="A27" i="4"/>
  <c r="AJ26" i="4"/>
  <c r="AJ14" i="4"/>
  <c r="AJ22" i="4"/>
  <c r="AJ18" i="4"/>
  <c r="AI12" i="4"/>
  <c r="AI24" i="4"/>
  <c r="AI20" i="4"/>
  <c r="AJ25" i="4"/>
  <c r="AJ23" i="4"/>
  <c r="AJ21" i="4"/>
  <c r="AJ19" i="4"/>
  <c r="AJ17" i="4"/>
  <c r="AJ15" i="4"/>
  <c r="AJ13" i="4"/>
  <c r="A1" i="1"/>
  <c r="C14" i="1" s="1" a="1"/>
  <c r="AJ27" i="4" l="1"/>
  <c r="AI27" i="4"/>
  <c r="C3" i="1" a="1"/>
  <c r="AE3" i="1" s="1"/>
  <c r="C11" i="1" a="1"/>
  <c r="AE11" i="1" s="1"/>
  <c r="C12" i="1" a="1"/>
  <c r="AE12" i="1" s="1"/>
  <c r="C5" i="1" a="1"/>
  <c r="AE5" i="1" s="1"/>
  <c r="AD14" i="1"/>
  <c r="Z14" i="1"/>
  <c r="V14" i="1"/>
  <c r="R14" i="1"/>
  <c r="N14" i="1"/>
  <c r="J14" i="1"/>
  <c r="F14" i="1"/>
  <c r="AF14" i="1"/>
  <c r="AB14" i="1"/>
  <c r="X14" i="1"/>
  <c r="T14" i="1"/>
  <c r="P14" i="1"/>
  <c r="L14" i="1"/>
  <c r="H14" i="1"/>
  <c r="D14" i="1"/>
  <c r="AC14" i="1"/>
  <c r="Y14" i="1"/>
  <c r="U14" i="1"/>
  <c r="Q14" i="1"/>
  <c r="M14" i="1"/>
  <c r="I14" i="1"/>
  <c r="E14" i="1"/>
  <c r="AE14" i="1"/>
  <c r="AA14" i="1"/>
  <c r="W14" i="1"/>
  <c r="S14" i="1"/>
  <c r="O14" i="1"/>
  <c r="K14" i="1"/>
  <c r="G14" i="1"/>
  <c r="C14" i="1"/>
  <c r="B14" i="1" s="1"/>
  <c r="AG14" i="1"/>
  <c r="C8" i="1" a="1"/>
  <c r="C9" i="1" a="1"/>
  <c r="C10" i="1" a="1"/>
  <c r="C4" i="1" a="1"/>
  <c r="C6" i="1" a="1"/>
  <c r="C7" i="1" a="1"/>
  <c r="C13" i="1" a="1"/>
  <c r="AG5" i="1" l="1"/>
  <c r="W5" i="1"/>
  <c r="O5" i="1"/>
  <c r="I5" i="1"/>
  <c r="F5" i="1"/>
  <c r="G5" i="1"/>
  <c r="Q5" i="1"/>
  <c r="D5" i="1"/>
  <c r="R5" i="1"/>
  <c r="V5" i="1"/>
  <c r="AD5" i="1"/>
  <c r="AB5" i="1"/>
  <c r="Y5" i="1"/>
  <c r="T5" i="1"/>
  <c r="L5" i="1"/>
  <c r="G12" i="1"/>
  <c r="AF12" i="1"/>
  <c r="R12" i="1"/>
  <c r="S5" i="1"/>
  <c r="C5" i="1"/>
  <c r="B5" i="1" s="1"/>
  <c r="AC5" i="1"/>
  <c r="M5" i="1"/>
  <c r="Z5" i="1"/>
  <c r="X5" i="1"/>
  <c r="H5" i="1"/>
  <c r="N5" i="1"/>
  <c r="AA5" i="1"/>
  <c r="K5" i="1"/>
  <c r="U5" i="1"/>
  <c r="E5" i="1"/>
  <c r="J5" i="1"/>
  <c r="AF5" i="1"/>
  <c r="P5" i="1"/>
  <c r="M12" i="1"/>
  <c r="H12" i="1"/>
  <c r="AG3" i="1"/>
  <c r="AA12" i="1"/>
  <c r="AG12" i="1"/>
  <c r="AD12" i="1"/>
  <c r="U12" i="1"/>
  <c r="V12" i="1"/>
  <c r="T12" i="1"/>
  <c r="S12" i="1"/>
  <c r="W12" i="1"/>
  <c r="C12" i="1"/>
  <c r="B12" i="1" s="1"/>
  <c r="AC12" i="1"/>
  <c r="E12" i="1"/>
  <c r="Z12" i="1"/>
  <c r="X12" i="1"/>
  <c r="D12" i="1"/>
  <c r="K12" i="1"/>
  <c r="Q12" i="1"/>
  <c r="F12" i="1"/>
  <c r="P12" i="1"/>
  <c r="K11" i="1"/>
  <c r="O11" i="1"/>
  <c r="R11" i="1"/>
  <c r="D3" i="1"/>
  <c r="G3" i="1"/>
  <c r="T3" i="1"/>
  <c r="O12" i="1"/>
  <c r="W3" i="1"/>
  <c r="Y12" i="1"/>
  <c r="I12" i="1"/>
  <c r="Q3" i="1"/>
  <c r="N12" i="1"/>
  <c r="AB12" i="1"/>
  <c r="L12" i="1"/>
  <c r="J12" i="1"/>
  <c r="J3" i="1"/>
  <c r="AA3" i="1"/>
  <c r="K3" i="1"/>
  <c r="X3" i="1"/>
  <c r="H3" i="1"/>
  <c r="AD3" i="1"/>
  <c r="N3" i="1"/>
  <c r="AA11" i="1"/>
  <c r="O3" i="1"/>
  <c r="Q11" i="1"/>
  <c r="Y3" i="1"/>
  <c r="I3" i="1"/>
  <c r="P11" i="1"/>
  <c r="AB3" i="1"/>
  <c r="L3" i="1"/>
  <c r="R3" i="1"/>
  <c r="Z3" i="1"/>
  <c r="U3" i="1"/>
  <c r="S3" i="1"/>
  <c r="C3" i="1"/>
  <c r="B3" i="1" s="1"/>
  <c r="AC3" i="1"/>
  <c r="M3" i="1"/>
  <c r="AF11" i="1"/>
  <c r="AF3" i="1"/>
  <c r="P3" i="1"/>
  <c r="E3" i="1"/>
  <c r="V3" i="1"/>
  <c r="F3" i="1"/>
  <c r="AC11" i="1"/>
  <c r="M11" i="1"/>
  <c r="AD11" i="1"/>
  <c r="N11" i="1"/>
  <c r="AB11" i="1"/>
  <c r="L11" i="1"/>
  <c r="S11" i="1"/>
  <c r="C11" i="1"/>
  <c r="B11" i="1" s="1"/>
  <c r="U11" i="1"/>
  <c r="E11" i="1"/>
  <c r="V11" i="1"/>
  <c r="F11" i="1"/>
  <c r="T11" i="1"/>
  <c r="D11" i="1"/>
  <c r="W11" i="1"/>
  <c r="G11" i="1"/>
  <c r="Y11" i="1"/>
  <c r="I11" i="1"/>
  <c r="Z11" i="1"/>
  <c r="J11" i="1"/>
  <c r="X11" i="1"/>
  <c r="H11" i="1"/>
  <c r="AD6" i="1"/>
  <c r="Z6" i="1"/>
  <c r="V6" i="1"/>
  <c r="R6" i="1"/>
  <c r="N6" i="1"/>
  <c r="J6" i="1"/>
  <c r="F6" i="1"/>
  <c r="AF6" i="1"/>
  <c r="AB6" i="1"/>
  <c r="X6" i="1"/>
  <c r="T6" i="1"/>
  <c r="P6" i="1"/>
  <c r="L6" i="1"/>
  <c r="H6" i="1"/>
  <c r="D6" i="1"/>
  <c r="AE6" i="1"/>
  <c r="AA6" i="1"/>
  <c r="W6" i="1"/>
  <c r="S6" i="1"/>
  <c r="O6" i="1"/>
  <c r="K6" i="1"/>
  <c r="G6" i="1"/>
  <c r="C6" i="1"/>
  <c r="B6" i="1" s="1"/>
  <c r="AC6" i="1"/>
  <c r="Y6" i="1"/>
  <c r="U6" i="1"/>
  <c r="Q6" i="1"/>
  <c r="M6" i="1"/>
  <c r="I6" i="1"/>
  <c r="E6" i="1"/>
  <c r="AC8" i="1"/>
  <c r="Y8" i="1"/>
  <c r="U8" i="1"/>
  <c r="Q8" i="1"/>
  <c r="M8" i="1"/>
  <c r="I8" i="1"/>
  <c r="E8" i="1"/>
  <c r="AE8" i="1"/>
  <c r="AA8" i="1"/>
  <c r="W8" i="1"/>
  <c r="S8" i="1"/>
  <c r="O8" i="1"/>
  <c r="K8" i="1"/>
  <c r="G8" i="1"/>
  <c r="C8" i="1"/>
  <c r="B8" i="1" s="1"/>
  <c r="AF8" i="1"/>
  <c r="AB8" i="1"/>
  <c r="T8" i="1"/>
  <c r="P8" i="1"/>
  <c r="H8" i="1"/>
  <c r="AD8" i="1"/>
  <c r="Z8" i="1"/>
  <c r="V8" i="1"/>
  <c r="R8" i="1"/>
  <c r="N8" i="1"/>
  <c r="J8" i="1"/>
  <c r="F8" i="1"/>
  <c r="X8" i="1"/>
  <c r="L8" i="1"/>
  <c r="D8" i="1"/>
  <c r="AG9" i="1"/>
  <c r="AC9" i="1"/>
  <c r="Y9" i="1"/>
  <c r="U9" i="1"/>
  <c r="Q9" i="1"/>
  <c r="M9" i="1"/>
  <c r="I9" i="1"/>
  <c r="E9" i="1"/>
  <c r="AE9" i="1"/>
  <c r="AA9" i="1"/>
  <c r="W9" i="1"/>
  <c r="S9" i="1"/>
  <c r="O9" i="1"/>
  <c r="K9" i="1"/>
  <c r="G9" i="1"/>
  <c r="C9" i="1"/>
  <c r="B9" i="1" s="1"/>
  <c r="AF9" i="1"/>
  <c r="AB9" i="1"/>
  <c r="X9" i="1"/>
  <c r="T9" i="1"/>
  <c r="L9" i="1"/>
  <c r="H9" i="1"/>
  <c r="D9" i="1"/>
  <c r="AD9" i="1"/>
  <c r="Z9" i="1"/>
  <c r="V9" i="1"/>
  <c r="R9" i="1"/>
  <c r="N9" i="1"/>
  <c r="J9" i="1"/>
  <c r="F9" i="1"/>
  <c r="P9" i="1"/>
  <c r="AD13" i="1"/>
  <c r="Z13" i="1"/>
  <c r="V13" i="1"/>
  <c r="R13" i="1"/>
  <c r="N13" i="1"/>
  <c r="J13" i="1"/>
  <c r="F13" i="1"/>
  <c r="AF13" i="1"/>
  <c r="AB13" i="1"/>
  <c r="X13" i="1"/>
  <c r="T13" i="1"/>
  <c r="P13" i="1"/>
  <c r="L13" i="1"/>
  <c r="H13" i="1"/>
  <c r="D13" i="1"/>
  <c r="AC13" i="1"/>
  <c r="Y13" i="1"/>
  <c r="U13" i="1"/>
  <c r="Q13" i="1"/>
  <c r="M13" i="1"/>
  <c r="E13" i="1"/>
  <c r="AE13" i="1"/>
  <c r="AA13" i="1"/>
  <c r="W13" i="1"/>
  <c r="S13" i="1"/>
  <c r="O13" i="1"/>
  <c r="K13" i="1"/>
  <c r="G13" i="1"/>
  <c r="C13" i="1"/>
  <c r="B13" i="1" s="1"/>
  <c r="I13" i="1"/>
  <c r="AD4" i="1"/>
  <c r="Z4" i="1"/>
  <c r="V4" i="1"/>
  <c r="R4" i="1"/>
  <c r="N4" i="1"/>
  <c r="J4" i="1"/>
  <c r="F4" i="1"/>
  <c r="AB4" i="1"/>
  <c r="X4" i="1"/>
  <c r="T4" i="1"/>
  <c r="P4" i="1"/>
  <c r="L4" i="1"/>
  <c r="H4" i="1"/>
  <c r="D4" i="1"/>
  <c r="AE4" i="1"/>
  <c r="AA4" i="1"/>
  <c r="W4" i="1"/>
  <c r="S4" i="1"/>
  <c r="O4" i="1"/>
  <c r="K4" i="1"/>
  <c r="G4" i="1"/>
  <c r="C4" i="1"/>
  <c r="B4" i="1" s="1"/>
  <c r="AC4" i="1"/>
  <c r="Y4" i="1"/>
  <c r="U4" i="1"/>
  <c r="Q4" i="1"/>
  <c r="M4" i="1"/>
  <c r="I4" i="1"/>
  <c r="E4" i="1"/>
  <c r="AD7" i="1"/>
  <c r="Z7" i="1"/>
  <c r="V7" i="1"/>
  <c r="R7" i="1"/>
  <c r="N7" i="1"/>
  <c r="J7" i="1"/>
  <c r="F7" i="1"/>
  <c r="AF7" i="1"/>
  <c r="AB7" i="1"/>
  <c r="X7" i="1"/>
  <c r="T7" i="1"/>
  <c r="P7" i="1"/>
  <c r="L7" i="1"/>
  <c r="H7" i="1"/>
  <c r="D7" i="1"/>
  <c r="AG7" i="1"/>
  <c r="Y7" i="1"/>
  <c r="Q7" i="1"/>
  <c r="I7" i="1"/>
  <c r="AE7" i="1"/>
  <c r="AA7" i="1"/>
  <c r="W7" i="1"/>
  <c r="S7" i="1"/>
  <c r="O7" i="1"/>
  <c r="K7" i="1"/>
  <c r="G7" i="1"/>
  <c r="C7" i="1"/>
  <c r="B7" i="1" s="1"/>
  <c r="AC7" i="1"/>
  <c r="U7" i="1"/>
  <c r="M7" i="1"/>
  <c r="E7" i="1"/>
  <c r="AF10" i="1"/>
  <c r="AB10" i="1"/>
  <c r="X10" i="1"/>
  <c r="T10" i="1"/>
  <c r="P10" i="1"/>
  <c r="L10" i="1"/>
  <c r="H10" i="1"/>
  <c r="D10" i="1"/>
  <c r="AD10" i="1"/>
  <c r="Z10" i="1"/>
  <c r="V10" i="1"/>
  <c r="R10" i="1"/>
  <c r="N10" i="1"/>
  <c r="J10" i="1"/>
  <c r="F10" i="1"/>
  <c r="AA10" i="1"/>
  <c r="W10" i="1"/>
  <c r="S10" i="1"/>
  <c r="O10" i="1"/>
  <c r="K10" i="1"/>
  <c r="G10" i="1"/>
  <c r="C10" i="1"/>
  <c r="B10" i="1" s="1"/>
  <c r="AG10" i="1"/>
  <c r="AC10" i="1"/>
  <c r="Y10" i="1"/>
  <c r="U10" i="1"/>
  <c r="Q10" i="1"/>
  <c r="M10" i="1"/>
  <c r="I10" i="1"/>
  <c r="E10" i="1"/>
  <c r="AE10" i="1"/>
  <c r="AH9" i="4" l="1"/>
  <c r="AH10" i="4" s="1"/>
  <c r="AG9" i="4"/>
  <c r="AG10" i="4" s="1"/>
  <c r="AF9" i="4"/>
  <c r="AF10" i="4" s="1"/>
  <c r="AE9" i="4"/>
  <c r="AE10" i="4" s="1"/>
  <c r="AD9" i="4"/>
  <c r="AD10" i="4" s="1"/>
  <c r="AC9" i="4"/>
  <c r="AC10" i="4" s="1"/>
  <c r="AB9" i="4"/>
  <c r="AB10" i="4" s="1"/>
  <c r="AA9" i="4"/>
  <c r="AA10" i="4" s="1"/>
  <c r="Z9" i="4"/>
  <c r="Z10" i="4" s="1"/>
  <c r="Y9" i="4"/>
  <c r="Y10" i="4" s="1"/>
  <c r="X9" i="4"/>
  <c r="X10" i="4" s="1"/>
  <c r="V9" i="4"/>
  <c r="V10" i="4" s="1"/>
  <c r="W9" i="4"/>
  <c r="W10" i="4" s="1"/>
  <c r="U9" i="4"/>
  <c r="S9" i="4"/>
  <c r="S10" i="4" s="1"/>
  <c r="T9" i="4"/>
  <c r="T10" i="4" s="1"/>
  <c r="Q9" i="4"/>
  <c r="Q10" i="4" s="1"/>
  <c r="R9" i="4"/>
  <c r="R10" i="4" s="1"/>
  <c r="O9" i="4"/>
  <c r="O10" i="4" s="1"/>
  <c r="P9" i="4"/>
  <c r="P10" i="4" s="1"/>
  <c r="M9" i="4"/>
  <c r="M10" i="4" s="1"/>
  <c r="N9" i="4"/>
  <c r="N10" i="4" s="1"/>
  <c r="K9" i="4"/>
  <c r="L9" i="4"/>
  <c r="L10" i="4" s="1"/>
  <c r="J9" i="4"/>
  <c r="J10" i="4" s="1"/>
  <c r="I9" i="4"/>
  <c r="I10" i="4" s="1"/>
  <c r="H9" i="4"/>
  <c r="H10" i="4" s="1"/>
  <c r="F9" i="4"/>
  <c r="F10" i="4" s="1"/>
  <c r="G9" i="4"/>
  <c r="G10" i="4" s="1"/>
  <c r="E9" i="4"/>
  <c r="E10" i="4" s="1"/>
  <c r="D9" i="4"/>
  <c r="D10" i="4" s="1"/>
  <c r="K10" i="4" l="1"/>
  <c r="K11" i="4"/>
  <c r="U10" i="4"/>
  <c r="U11" i="4"/>
  <c r="D11" i="4"/>
  <c r="G11" i="4"/>
  <c r="M11" i="4"/>
  <c r="W11" i="4"/>
  <c r="AD11" i="4"/>
  <c r="E11" i="4"/>
  <c r="N11" i="4"/>
  <c r="H11" i="4"/>
  <c r="O11" i="4"/>
  <c r="S11" i="4"/>
  <c r="X11" i="4"/>
  <c r="AB11" i="4"/>
  <c r="AF11" i="4"/>
  <c r="J11" i="4"/>
  <c r="Q11" i="4"/>
  <c r="Z11" i="4"/>
  <c r="AH11" i="4"/>
  <c r="I11" i="4"/>
  <c r="R11" i="4"/>
  <c r="Y11" i="4"/>
  <c r="AC11" i="4"/>
  <c r="AG11" i="4"/>
  <c r="F11" i="4"/>
  <c r="L11" i="4"/>
  <c r="P11" i="4"/>
  <c r="T11" i="4"/>
  <c r="V11" i="4"/>
  <c r="AA11" i="4"/>
  <c r="AE11" i="4"/>
</calcChain>
</file>

<file path=xl/sharedStrings.xml><?xml version="1.0" encoding="utf-8"?>
<sst xmlns="http://schemas.openxmlformats.org/spreadsheetml/2006/main" count="137" uniqueCount="86">
  <si>
    <t>Месяц</t>
  </si>
  <si>
    <t>№ п/п</t>
  </si>
  <si>
    <t>Ф.И.О. сотрудника</t>
  </si>
  <si>
    <t>Должность</t>
  </si>
  <si>
    <t>Сумма,тг</t>
  </si>
  <si>
    <t>дни</t>
  </si>
  <si>
    <t>часы</t>
  </si>
  <si>
    <t>Дата</t>
  </si>
  <si>
    <t>Табель рабочего времени по АУП</t>
  </si>
  <si>
    <t>Директор</t>
  </si>
  <si>
    <t>Зам.директор</t>
  </si>
  <si>
    <t>Гл.инженер</t>
  </si>
  <si>
    <t>Инженер по ТБ</t>
  </si>
  <si>
    <t>Гл.агроном</t>
  </si>
  <si>
    <t>Гл.экономист и IT</t>
  </si>
  <si>
    <t>Зам.гл.бухгалтера</t>
  </si>
  <si>
    <t>Бухгалтер</t>
  </si>
  <si>
    <t>Диспетчер</t>
  </si>
  <si>
    <t>Секретарь-ОК</t>
  </si>
  <si>
    <t>ОК  ____________________</t>
  </si>
  <si>
    <t xml:space="preserve"> </t>
  </si>
  <si>
    <t>Составил ____________________</t>
  </si>
  <si>
    <t>Гл.экономист _________________</t>
  </si>
  <si>
    <t>Столбец1</t>
  </si>
  <si>
    <t>Шаймарданов Б.С</t>
  </si>
  <si>
    <t>Казиев Н.Б.</t>
  </si>
  <si>
    <t>Пальчиков С.В.</t>
  </si>
  <si>
    <t>Осипов В.Н.</t>
  </si>
  <si>
    <t>Табеев А.С.</t>
  </si>
  <si>
    <t>Федянина Н.Э.</t>
  </si>
  <si>
    <t>Кавальчук В.В.</t>
  </si>
  <si>
    <t>Ильин А.Л.</t>
  </si>
  <si>
    <t>Назарова С.В.</t>
  </si>
  <si>
    <t>Четверикова Н.В.</t>
  </si>
  <si>
    <r>
      <t xml:space="preserve">                                                   </t>
    </r>
    <r>
      <rPr>
        <sz val="10"/>
        <color theme="1"/>
        <rFont val="Calibri"/>
        <family val="2"/>
        <charset val="204"/>
        <scheme val="minor"/>
      </rPr>
      <t xml:space="preserve">    Директор _________________</t>
    </r>
  </si>
  <si>
    <t>Мамаев С.В.</t>
  </si>
  <si>
    <t>Штатное расписание АУП</t>
  </si>
  <si>
    <t xml:space="preserve">Должность </t>
  </si>
  <si>
    <t>Кол-во штатных единиц</t>
  </si>
  <si>
    <t>Оклад 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</si>
  <si>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</si>
  <si>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</si>
  <si>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</si>
  <si>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</si>
  <si>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</si>
  <si>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</si>
  <si>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</si>
  <si>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</si>
  <si>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</si>
  <si>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</si>
  <si>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</si>
  <si>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</si>
  <si>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Директор </t>
  </si>
  <si>
    <t xml:space="preserve">Главный агроном </t>
  </si>
  <si>
    <t>Главный инженер</t>
  </si>
  <si>
    <t>Зам гл.бухгалтера</t>
  </si>
  <si>
    <t xml:space="preserve">Бухгалтер </t>
  </si>
  <si>
    <t>Секретарь</t>
  </si>
  <si>
    <t>Баланс рабочего времени на 2019 год</t>
  </si>
  <si>
    <t xml:space="preserve"> период</t>
  </si>
  <si>
    <t>количество дней</t>
  </si>
  <si>
    <t>рабочие дни</t>
  </si>
  <si>
    <t>календар-ные дни</t>
  </si>
  <si>
    <t>календарные дни без учета праздничных дней</t>
  </si>
  <si>
    <t xml:space="preserve">  40-часовая рабочая неделя</t>
  </si>
  <si>
    <t>График работы</t>
  </si>
  <si>
    <t xml:space="preserve">  с 1-го числа  </t>
  </si>
  <si>
    <t xml:space="preserve">до конца месяца </t>
  </si>
  <si>
    <t xml:space="preserve">  пятидневка </t>
  </si>
  <si>
    <t xml:space="preserve">шестидневка </t>
  </si>
  <si>
    <t xml:space="preserve">часы </t>
  </si>
  <si>
    <t>март*</t>
  </si>
  <si>
    <t>I квартал</t>
  </si>
  <si>
    <t>II квартал</t>
  </si>
  <si>
    <t>I полугодие</t>
  </si>
  <si>
    <t>июль*</t>
  </si>
  <si>
    <t>III квартал</t>
  </si>
  <si>
    <t>9 месяцев</t>
  </si>
  <si>
    <t>декабрь*</t>
  </si>
  <si>
    <t>IV квартал</t>
  </si>
  <si>
    <t>Год</t>
  </si>
  <si>
    <t>Среднемесячный баланс</t>
  </si>
  <si>
    <t>2019год. Часовая ставка</t>
  </si>
  <si>
    <t>ставка в час</t>
  </si>
  <si>
    <t xml:space="preserve">Зам.директора </t>
  </si>
  <si>
    <t>Гл. экономист и 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</si>
</sst>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mmm"/>
    <numFmt numFmtId="166" formatCode="d"/>
    <numFmt numFmtId="167" formatCode="ddd"/>
    <numFmt numFmtId="168" formatCode="0.000"/>
    <numFmt numFmtId="169" formatCode="_-* #,##0.0_р_._-;\-* #,##0.0_р_._-;_-* \-?_р_._-;_-@_-"/>
    <numFmt numFmtId="170" formatCode="0.0"/>
  </numFmts>
  <fonts count="3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48"/>
      <color theme="3"/>
      <name val="Cambria"/>
      <family val="2"/>
      <scheme val="maj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3"/>
      <name val="Cambria"/>
      <family val="2"/>
      <scheme val="major"/>
    </font>
    <font>
      <sz val="14"/>
      <color theme="0"/>
      <name val="Cambria"/>
      <family val="2"/>
      <scheme val="major"/>
    </font>
    <font>
      <b/>
      <sz val="12"/>
      <color theme="4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4"/>
      <color indexed="8"/>
      <name val="Arial"/>
      <family val="2"/>
      <charset val="204"/>
    </font>
    <font>
      <sz val="9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8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Arial Cyr"/>
      <charset val="204"/>
    </font>
    <font>
      <sz val="8"/>
      <color rgb="FF006100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Calibri"/>
      <family val="2"/>
      <charset val="204"/>
    </font>
    <font>
      <sz val="8"/>
      <color indexed="62"/>
      <name val="Arial"/>
      <family val="2"/>
      <charset val="204"/>
    </font>
    <font>
      <sz val="9"/>
      <name val="Arial Cyr"/>
      <family val="2"/>
      <charset val="204"/>
    </font>
    <font>
      <b/>
      <sz val="9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9"/>
      <name val="Arial Cyr"/>
      <family val="2"/>
      <charset val="204"/>
    </font>
    <font>
      <sz val="9"/>
      <color indexed="30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theme="1"/>
      <name val="Arial Cyr"/>
      <family val="2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0">
    <xf numFmtId="0" fontId="0" fillId="0" borderId="0"/>
    <xf numFmtId="0" fontId="2" fillId="2" borderId="0" applyNumberFormat="0" applyBorder="0" applyAlignment="0" applyProtection="0"/>
    <xf numFmtId="165" fontId="3" fillId="3" borderId="0" applyBorder="0" applyProtection="0">
      <alignment horizontal="left"/>
    </xf>
    <xf numFmtId="0" fontId="5" fillId="3" borderId="0">
      <alignment horizontal="left" vertical="center" wrapText="1"/>
    </xf>
    <xf numFmtId="166" fontId="5" fillId="3" borderId="0" applyFont="0" applyBorder="0">
      <alignment horizontal="center" vertical="top"/>
    </xf>
    <xf numFmtId="14" fontId="5" fillId="3" borderId="0" applyFont="0" applyBorder="0" applyProtection="0">
      <alignment horizontal="left" vertical="center"/>
    </xf>
    <xf numFmtId="0" fontId="5" fillId="3" borderId="0" applyNumberFormat="0" applyFont="0" applyBorder="0">
      <alignment horizontal="center" vertical="center"/>
    </xf>
    <xf numFmtId="0" fontId="6" fillId="2" borderId="0" applyNumberFormat="0" applyAlignment="0" applyProtection="0"/>
    <xf numFmtId="0" fontId="7" fillId="3" borderId="0" applyNumberFormat="0" applyProtection="0">
      <alignment horizontal="left" vertical="center"/>
    </xf>
    <xf numFmtId="0" fontId="8" fillId="0" borderId="5" applyNumberFormat="0" applyFill="0" applyProtection="0">
      <alignment horizontal="center" vertical="center"/>
    </xf>
    <xf numFmtId="0" fontId="15" fillId="0" borderId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5" borderId="0" applyNumberFormat="0" applyBorder="0" applyAlignment="0" applyProtection="0"/>
    <xf numFmtId="0" fontId="15" fillId="0" borderId="0"/>
    <xf numFmtId="0" fontId="19" fillId="0" borderId="0"/>
    <xf numFmtId="0" fontId="18" fillId="0" borderId="0"/>
    <xf numFmtId="0" fontId="15" fillId="0" borderId="0"/>
    <xf numFmtId="0" fontId="19" fillId="0" borderId="0"/>
    <xf numFmtId="0" fontId="20" fillId="0" borderId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0" fillId="0" borderId="0" applyFill="0" applyBorder="0" applyAlignment="0" applyProtection="0"/>
    <xf numFmtId="169" fontId="20" fillId="0" borderId="0" applyFill="0" applyBorder="0" applyAlignment="0" applyProtection="0"/>
    <xf numFmtId="164" fontId="21" fillId="0" borderId="0" applyFont="0" applyFill="0" applyBorder="0" applyAlignment="0" applyProtection="0"/>
    <xf numFmtId="0" fontId="25" fillId="4" borderId="0" applyNumberFormat="0" applyBorder="0" applyAlignment="0" applyProtection="0"/>
  </cellStyleXfs>
  <cellXfs count="132">
    <xf numFmtId="0" fontId="0" fillId="0" borderId="0" xfId="0"/>
    <xf numFmtId="165" fontId="4" fillId="0" borderId="0" xfId="2" applyFont="1" applyFill="1" applyAlignment="1" applyProtection="1">
      <alignment vertical="center"/>
    </xf>
    <xf numFmtId="0" fontId="5" fillId="0" borderId="0" xfId="3" applyFill="1" applyAlignment="1" applyProtection="1">
      <alignment horizontal="left" vertical="center" wrapText="1"/>
    </xf>
    <xf numFmtId="0" fontId="5" fillId="0" borderId="0" xfId="3" applyFill="1" applyAlignment="1">
      <alignment horizontal="left" vertical="center" wrapText="1"/>
    </xf>
    <xf numFmtId="165" fontId="4" fillId="0" borderId="1" xfId="2" applyFont="1" applyFill="1" applyBorder="1" applyAlignment="1" applyProtection="1">
      <alignment vertical="center"/>
    </xf>
    <xf numFmtId="166" fontId="0" fillId="0" borderId="1" xfId="4" applyFont="1" applyFill="1" applyBorder="1" applyAlignment="1" applyProtection="1">
      <alignment horizontal="center" vertical="center"/>
    </xf>
    <xf numFmtId="0" fontId="5" fillId="0" borderId="1" xfId="3" applyFill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right" vertical="center"/>
    </xf>
    <xf numFmtId="1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" fontId="10" fillId="0" borderId="0" xfId="0" applyNumberFormat="1" applyFont="1" applyBorder="1" applyAlignment="1">
      <alignment horizontal="right" vertical="center"/>
    </xf>
    <xf numFmtId="167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6" fontId="11" fillId="0" borderId="7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4" fontId="0" fillId="0" borderId="1" xfId="0" applyNumberFormat="1" applyBorder="1" applyAlignment="1" applyProtection="1">
      <alignment horizontal="right" vertical="center"/>
      <protection locked="0" hidden="1"/>
    </xf>
    <xf numFmtId="0" fontId="0" fillId="0" borderId="1" xfId="0" applyBorder="1" applyAlignment="1" applyProtection="1">
      <alignment vertical="center"/>
      <protection locked="0" hidden="1"/>
    </xf>
    <xf numFmtId="0" fontId="10" fillId="0" borderId="1" xfId="0" applyFont="1" applyBorder="1" applyAlignment="1" applyProtection="1">
      <alignment horizontal="center" vertical="center"/>
      <protection locked="0" hidden="1"/>
    </xf>
    <xf numFmtId="0" fontId="12" fillId="0" borderId="12" xfId="0" applyFont="1" applyBorder="1" applyAlignment="1">
      <alignment horizontal="center" vertical="center"/>
    </xf>
    <xf numFmtId="0" fontId="0" fillId="0" borderId="4" xfId="0" applyBorder="1" applyAlignment="1" applyProtection="1">
      <alignment vertical="center"/>
      <protection locked="0" hidden="1"/>
    </xf>
    <xf numFmtId="0" fontId="10" fillId="0" borderId="4" xfId="0" applyFont="1" applyBorder="1" applyAlignment="1" applyProtection="1">
      <alignment horizontal="center" vertical="center"/>
      <protection locked="0" hidden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3" fontId="15" fillId="0" borderId="0" xfId="10" applyNumberFormat="1"/>
    <xf numFmtId="3" fontId="15" fillId="0" borderId="1" xfId="10" applyNumberFormat="1" applyBorder="1" applyAlignment="1">
      <alignment horizontal="center" vertical="center" wrapText="1"/>
    </xf>
    <xf numFmtId="3" fontId="15" fillId="0" borderId="0" xfId="10" applyNumberFormat="1" applyAlignment="1">
      <alignment horizontal="center" vertical="center" wrapText="1"/>
    </xf>
    <xf numFmtId="3" fontId="15" fillId="0" borderId="1" xfId="10" applyNumberFormat="1" applyFont="1" applyBorder="1"/>
    <xf numFmtId="3" fontId="15" fillId="8" borderId="1" xfId="10" applyNumberFormat="1" applyFill="1" applyBorder="1"/>
    <xf numFmtId="3" fontId="15" fillId="0" borderId="1" xfId="10" applyNumberFormat="1" applyBorder="1" applyAlignment="1">
      <alignment horizontal="center"/>
    </xf>
    <xf numFmtId="3" fontId="17" fillId="0" borderId="1" xfId="10" applyNumberFormat="1" applyFont="1" applyBorder="1" applyAlignment="1">
      <alignment horizontal="center"/>
    </xf>
    <xf numFmtId="3" fontId="15" fillId="0" borderId="1" xfId="10" applyNumberFormat="1" applyBorder="1"/>
    <xf numFmtId="3" fontId="15" fillId="0" borderId="0" xfId="10" applyNumberFormat="1" applyAlignment="1">
      <alignment horizontal="center"/>
    </xf>
    <xf numFmtId="3" fontId="26" fillId="0" borderId="0" xfId="19" applyNumberFormat="1" applyFont="1"/>
    <xf numFmtId="3" fontId="26" fillId="0" borderId="0" xfId="19" applyNumberFormat="1" applyFont="1" applyFill="1"/>
    <xf numFmtId="0" fontId="27" fillId="0" borderId="0" xfId="16" applyFont="1" applyAlignment="1"/>
    <xf numFmtId="0" fontId="28" fillId="0" borderId="0" xfId="16" applyFont="1"/>
    <xf numFmtId="0" fontId="18" fillId="0" borderId="0" xfId="16"/>
    <xf numFmtId="3" fontId="29" fillId="0" borderId="0" xfId="19" applyNumberFormat="1" applyFont="1"/>
    <xf numFmtId="3" fontId="30" fillId="0" borderId="0" xfId="19" applyNumberFormat="1" applyFont="1"/>
    <xf numFmtId="3" fontId="32" fillId="0" borderId="0" xfId="19" applyNumberFormat="1" applyFont="1"/>
    <xf numFmtId="3" fontId="33" fillId="0" borderId="0" xfId="19" applyNumberFormat="1" applyFont="1" applyFill="1"/>
    <xf numFmtId="3" fontId="34" fillId="0" borderId="0" xfId="19" applyNumberFormat="1" applyFont="1"/>
    <xf numFmtId="3" fontId="35" fillId="0" borderId="0" xfId="19" applyNumberFormat="1" applyFont="1"/>
    <xf numFmtId="0" fontId="30" fillId="0" borderId="10" xfId="16" applyFont="1" applyFill="1" applyBorder="1" applyAlignment="1">
      <alignment horizontal="center" vertical="center" wrapText="1"/>
    </xf>
    <xf numFmtId="0" fontId="30" fillId="0" borderId="4" xfId="16" applyFont="1" applyFill="1" applyBorder="1" applyAlignment="1">
      <alignment horizontal="center" vertical="center"/>
    </xf>
    <xf numFmtId="0" fontId="30" fillId="0" borderId="11" xfId="16" applyFont="1" applyFill="1" applyBorder="1" applyAlignment="1">
      <alignment horizontal="center" vertical="center"/>
    </xf>
    <xf numFmtId="3" fontId="29" fillId="0" borderId="0" xfId="19" applyNumberFormat="1" applyFont="1" applyFill="1"/>
    <xf numFmtId="0" fontId="36" fillId="0" borderId="6" xfId="16" applyFont="1" applyBorder="1" applyAlignment="1">
      <alignment wrapText="1"/>
    </xf>
    <xf numFmtId="0" fontId="37" fillId="0" borderId="7" xfId="16" applyFont="1" applyBorder="1" applyAlignment="1">
      <alignment wrapText="1"/>
    </xf>
    <xf numFmtId="0" fontId="37" fillId="0" borderId="15" xfId="16" applyFont="1" applyBorder="1" applyAlignment="1">
      <alignment wrapText="1"/>
    </xf>
    <xf numFmtId="0" fontId="36" fillId="0" borderId="8" xfId="16" applyFont="1" applyBorder="1" applyAlignment="1">
      <alignment wrapText="1"/>
    </xf>
    <xf numFmtId="0" fontId="37" fillId="0" borderId="1" xfId="16" applyFont="1" applyBorder="1" applyAlignment="1">
      <alignment wrapText="1"/>
    </xf>
    <xf numFmtId="0" fontId="37" fillId="0" borderId="9" xfId="16" applyFont="1" applyBorder="1" applyAlignment="1">
      <alignment wrapText="1"/>
    </xf>
    <xf numFmtId="0" fontId="36" fillId="0" borderId="16" xfId="16" applyFont="1" applyBorder="1" applyAlignment="1">
      <alignment wrapText="1"/>
    </xf>
    <xf numFmtId="0" fontId="37" fillId="0" borderId="17" xfId="16" applyFont="1" applyBorder="1" applyAlignment="1">
      <alignment wrapText="1"/>
    </xf>
    <xf numFmtId="0" fontId="37" fillId="0" borderId="18" xfId="16" applyFont="1" applyBorder="1" applyAlignment="1">
      <alignment wrapText="1"/>
    </xf>
    <xf numFmtId="0" fontId="37" fillId="0" borderId="19" xfId="16" applyFont="1" applyBorder="1" applyAlignment="1">
      <alignment wrapText="1"/>
    </xf>
    <xf numFmtId="0" fontId="36" fillId="0" borderId="20" xfId="16" applyFont="1" applyBorder="1" applyAlignment="1">
      <alignment wrapText="1"/>
    </xf>
    <xf numFmtId="0" fontId="36" fillId="0" borderId="21" xfId="16" applyFont="1" applyBorder="1" applyAlignment="1">
      <alignment wrapText="1"/>
    </xf>
    <xf numFmtId="0" fontId="37" fillId="0" borderId="22" xfId="16" applyFont="1" applyBorder="1" applyAlignment="1">
      <alignment wrapText="1"/>
    </xf>
    <xf numFmtId="0" fontId="36" fillId="0" borderId="23" xfId="16" applyFont="1" applyBorder="1" applyAlignment="1">
      <alignment wrapText="1"/>
    </xf>
    <xf numFmtId="0" fontId="36" fillId="0" borderId="24" xfId="16" applyFont="1" applyBorder="1" applyAlignment="1">
      <alignment wrapText="1"/>
    </xf>
    <xf numFmtId="0" fontId="37" fillId="0" borderId="10" xfId="16" applyFont="1" applyBorder="1" applyAlignment="1">
      <alignment wrapText="1"/>
    </xf>
    <xf numFmtId="0" fontId="36" fillId="0" borderId="4" xfId="16" applyFont="1" applyBorder="1" applyAlignment="1">
      <alignment wrapText="1"/>
    </xf>
    <xf numFmtId="0" fontId="36" fillId="0" borderId="11" xfId="16" applyFont="1" applyBorder="1" applyAlignment="1">
      <alignment wrapText="1"/>
    </xf>
    <xf numFmtId="0" fontId="37" fillId="0" borderId="8" xfId="16" applyFont="1" applyBorder="1" applyAlignment="1">
      <alignment wrapText="1"/>
    </xf>
    <xf numFmtId="0" fontId="36" fillId="0" borderId="1" xfId="16" applyFont="1" applyBorder="1" applyAlignment="1">
      <alignment wrapText="1"/>
    </xf>
    <xf numFmtId="0" fontId="36" fillId="0" borderId="9" xfId="16" applyFont="1" applyBorder="1" applyAlignment="1">
      <alignment wrapText="1"/>
    </xf>
    <xf numFmtId="4" fontId="30" fillId="0" borderId="0" xfId="19" applyNumberFormat="1" applyFont="1"/>
    <xf numFmtId="0" fontId="37" fillId="0" borderId="16" xfId="16" applyFont="1" applyBorder="1" applyAlignment="1">
      <alignment wrapText="1"/>
    </xf>
    <xf numFmtId="0" fontId="38" fillId="0" borderId="17" xfId="16" applyFont="1" applyBorder="1" applyAlignment="1">
      <alignment wrapText="1"/>
    </xf>
    <xf numFmtId="0" fontId="36" fillId="0" borderId="17" xfId="16" applyFont="1" applyBorder="1" applyAlignment="1">
      <alignment wrapText="1"/>
    </xf>
    <xf numFmtId="170" fontId="36" fillId="0" borderId="17" xfId="16" applyNumberFormat="1" applyFont="1" applyBorder="1" applyAlignment="1">
      <alignment wrapText="1"/>
    </xf>
    <xf numFmtId="0" fontId="36" fillId="0" borderId="18" xfId="16" applyFont="1" applyBorder="1" applyAlignment="1">
      <alignment wrapText="1"/>
    </xf>
    <xf numFmtId="4" fontId="32" fillId="0" borderId="0" xfId="19" applyNumberFormat="1" applyFont="1"/>
    <xf numFmtId="3" fontId="30" fillId="0" borderId="0" xfId="19" applyNumberFormat="1" applyFont="1" applyFill="1" applyBorder="1"/>
    <xf numFmtId="3" fontId="30" fillId="0" borderId="0" xfId="19" applyNumberFormat="1" applyFont="1" applyFill="1" applyBorder="1" applyAlignment="1">
      <alignment horizontal="center"/>
    </xf>
    <xf numFmtId="0" fontId="15" fillId="0" borderId="0" xfId="16" applyFont="1"/>
    <xf numFmtId="0" fontId="28" fillId="0" borderId="0" xfId="16" applyFont="1" applyFill="1"/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3" fontId="10" fillId="0" borderId="2" xfId="0" applyNumberFormat="1" applyFont="1" applyBorder="1" applyAlignment="1">
      <alignment vertical="center"/>
    </xf>
    <xf numFmtId="3" fontId="13" fillId="0" borderId="9" xfId="0" applyNumberFormat="1" applyFont="1" applyBorder="1" applyAlignment="1" applyProtection="1">
      <alignment vertical="center"/>
      <protection hidden="1"/>
    </xf>
    <xf numFmtId="0" fontId="10" fillId="0" borderId="13" xfId="0" applyFont="1" applyBorder="1" applyAlignment="1">
      <alignment vertical="center"/>
    </xf>
    <xf numFmtId="3" fontId="13" fillId="0" borderId="14" xfId="0" applyNumberFormat="1" applyFont="1" applyBorder="1" applyAlignment="1" applyProtection="1">
      <alignment vertical="center"/>
      <protection hidden="1"/>
    </xf>
    <xf numFmtId="3" fontId="15" fillId="0" borderId="0" xfId="10" applyNumberFormat="1" applyFont="1" applyBorder="1"/>
    <xf numFmtId="0" fontId="13" fillId="0" borderId="7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textRotation="90" wrapText="1"/>
    </xf>
    <xf numFmtId="0" fontId="13" fillId="0" borderId="23" xfId="0" applyFont="1" applyBorder="1" applyAlignment="1">
      <alignment horizontal="center" vertical="center" textRotation="90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3" fontId="16" fillId="0" borderId="0" xfId="10" applyNumberFormat="1" applyFont="1" applyAlignment="1">
      <alignment horizontal="center"/>
    </xf>
    <xf numFmtId="0" fontId="30" fillId="0" borderId="4" xfId="16" applyFont="1" applyFill="1" applyBorder="1" applyAlignment="1">
      <alignment horizontal="center" vertical="center"/>
    </xf>
    <xf numFmtId="0" fontId="30" fillId="0" borderId="11" xfId="16" applyFont="1" applyFill="1" applyBorder="1" applyAlignment="1">
      <alignment horizontal="center" vertical="center"/>
    </xf>
    <xf numFmtId="0" fontId="30" fillId="0" borderId="4" xfId="16" applyFont="1" applyFill="1" applyBorder="1" applyAlignment="1">
      <alignment horizontal="center" vertical="center" wrapText="1"/>
    </xf>
    <xf numFmtId="3" fontId="31" fillId="8" borderId="0" xfId="19" applyNumberFormat="1" applyFont="1" applyFill="1" applyBorder="1" applyAlignment="1">
      <alignment horizontal="center"/>
    </xf>
    <xf numFmtId="0" fontId="30" fillId="0" borderId="6" xfId="16" applyFont="1" applyFill="1" applyBorder="1" applyAlignment="1">
      <alignment horizontal="center" vertical="center" wrapText="1"/>
    </xf>
    <xf numFmtId="0" fontId="30" fillId="0" borderId="8" xfId="16" applyFont="1" applyFill="1" applyBorder="1" applyAlignment="1">
      <alignment horizontal="center" vertical="center" wrapText="1"/>
    </xf>
    <xf numFmtId="0" fontId="30" fillId="0" borderId="10" xfId="16" applyFont="1" applyFill="1" applyBorder="1" applyAlignment="1">
      <alignment horizontal="center" vertical="center" wrapText="1"/>
    </xf>
    <xf numFmtId="0" fontId="30" fillId="0" borderId="7" xfId="16" applyFont="1" applyFill="1" applyBorder="1" applyAlignment="1">
      <alignment horizontal="center" vertical="center" wrapText="1"/>
    </xf>
    <xf numFmtId="0" fontId="30" fillId="0" borderId="7" xfId="16" applyFont="1" applyFill="1" applyBorder="1" applyAlignment="1">
      <alignment horizontal="center" vertical="center"/>
    </xf>
    <xf numFmtId="0" fontId="30" fillId="0" borderId="15" xfId="16" applyFont="1" applyFill="1" applyBorder="1" applyAlignment="1">
      <alignment horizontal="center" vertical="center"/>
    </xf>
    <xf numFmtId="0" fontId="30" fillId="0" borderId="1" xfId="16" applyFont="1" applyFill="1" applyBorder="1" applyAlignment="1">
      <alignment horizontal="center" vertical="center" wrapText="1"/>
    </xf>
    <xf numFmtId="0" fontId="30" fillId="0" borderId="1" xfId="16" applyFont="1" applyFill="1" applyBorder="1" applyAlignment="1">
      <alignment horizontal="center" vertical="center"/>
    </xf>
    <xf numFmtId="0" fontId="30" fillId="0" borderId="9" xfId="16" applyFont="1" applyFill="1" applyBorder="1" applyAlignment="1">
      <alignment horizontal="center" vertical="center"/>
    </xf>
    <xf numFmtId="0" fontId="2" fillId="0" borderId="0" xfId="1" applyNumberFormat="1" applyFill="1" applyAlignment="1" applyProtection="1">
      <alignment horizontal="center" vertical="center"/>
    </xf>
  </cellXfs>
  <cellStyles count="30">
    <cellStyle name="20% - Акцент2 2" xfId="11"/>
    <cellStyle name="20% - Акцент4 2" xfId="12"/>
    <cellStyle name="40% - Акцент1 2" xfId="13"/>
    <cellStyle name="Date" xfId="5"/>
    <cellStyle name="Day" xfId="4"/>
    <cellStyle name="Weekday" xfId="6"/>
    <cellStyle name="Заголовок 1 2" xfId="7"/>
    <cellStyle name="Заголовок 2 2" xfId="8"/>
    <cellStyle name="Заголовок 3 2" xfId="9"/>
    <cellStyle name="Заголовок 4 2" xfId="2"/>
    <cellStyle name="Название 2" xfId="1"/>
    <cellStyle name="Обычный" xfId="0" builtinId="0"/>
    <cellStyle name="Обычный 2" xfId="3"/>
    <cellStyle name="Обычный 2 2" xfId="14"/>
    <cellStyle name="Обычный 2 3" xfId="15"/>
    <cellStyle name="Обычный 3" xfId="10"/>
    <cellStyle name="Обычный 4" xfId="16"/>
    <cellStyle name="Обычный 5" xfId="17"/>
    <cellStyle name="Обычный 6" xfId="18"/>
    <cellStyle name="Обычный_Исагали Пред бюджет 2008" xfId="19"/>
    <cellStyle name="Процентный 2" xfId="20"/>
    <cellStyle name="Процентный 3" xfId="21"/>
    <cellStyle name="Процентный 4" xfId="22"/>
    <cellStyle name="Процентный 5" xfId="23"/>
    <cellStyle name="Процентный 6" xfId="24"/>
    <cellStyle name="Финансовый 2" xfId="25"/>
    <cellStyle name="Финансовый 3" xfId="26"/>
    <cellStyle name="Финансовый 4" xfId="27"/>
    <cellStyle name="Финансовый 5" xfId="28"/>
    <cellStyle name="Хороший 2" xfId="29"/>
  </cellStyles>
  <dxfs count="13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>
          <bgColor rgb="FF66CCFF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Таблица2" displayName="Таблица2" ref="AY12:AY34" totalsRowCount="1" headerRowDxfId="3" dataDxfId="2">
  <autoFilter ref="AY12:AY33"/>
  <tableColumns count="1">
    <tableColumn id="1" name="Столбец1" totalsRowFunction="count" dataDxfId="1" totalsRow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Y49"/>
  <sheetViews>
    <sheetView showGridLines="0" tabSelected="1" workbookViewId="0">
      <selection activeCell="AK12" sqref="AK12"/>
    </sheetView>
  </sheetViews>
  <sheetFormatPr defaultRowHeight="15" outlineLevelRow="1" x14ac:dyDescent="0.25"/>
  <cols>
    <col min="1" max="1" width="4.42578125" style="13" customWidth="1"/>
    <col min="2" max="2" width="17.28515625" style="7" customWidth="1"/>
    <col min="3" max="3" width="17.42578125" style="7" customWidth="1"/>
    <col min="4" max="34" width="2.7109375" style="15" customWidth="1"/>
    <col min="35" max="35" width="3.85546875" style="15" customWidth="1"/>
    <col min="36" max="36" width="4.28515625" style="15" customWidth="1"/>
    <col min="37" max="37" width="5" style="15" customWidth="1"/>
    <col min="38" max="38" width="9.42578125" style="15" customWidth="1"/>
    <col min="39" max="49" width="9.140625" style="7"/>
    <col min="50" max="50" width="29.140625" style="7" customWidth="1"/>
    <col min="51" max="51" width="17.42578125" style="7" customWidth="1"/>
    <col min="52" max="16384" width="9.140625" style="7"/>
  </cols>
  <sheetData>
    <row r="1" spans="1:51" x14ac:dyDescent="0.25">
      <c r="A1" s="113" t="s">
        <v>7</v>
      </c>
      <c r="B1" s="114"/>
      <c r="C1" s="29">
        <v>43496</v>
      </c>
    </row>
    <row r="2" spans="1:51" x14ac:dyDescent="0.25">
      <c r="A2" s="115" t="s">
        <v>0</v>
      </c>
      <c r="B2" s="115"/>
      <c r="C2" s="8" t="str">
        <f>TEXT(C1,"ММММ")</f>
        <v>Январь</v>
      </c>
      <c r="Z2" s="15" t="s">
        <v>34</v>
      </c>
    </row>
    <row r="3" spans="1:51" hidden="1" outlineLevel="1" x14ac:dyDescent="0.25">
      <c r="A3" s="116"/>
      <c r="B3" s="116"/>
      <c r="C3" s="9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51" hidden="1" outlineLevel="1" x14ac:dyDescent="0.25">
      <c r="A4" s="116"/>
      <c r="B4" s="116"/>
      <c r="C4" s="10"/>
    </row>
    <row r="5" spans="1:51" hidden="1" outlineLevel="1" x14ac:dyDescent="0.25">
      <c r="A5" s="116"/>
      <c r="B5" s="116"/>
      <c r="C5" s="10"/>
    </row>
    <row r="6" spans="1:51" ht="9.75" customHeight="1" collapsed="1" x14ac:dyDescent="0.25">
      <c r="A6" s="11"/>
      <c r="B6" s="11"/>
      <c r="C6" s="10"/>
    </row>
    <row r="7" spans="1:51" ht="15.75" x14ac:dyDescent="0.25">
      <c r="A7" s="106" t="s">
        <v>8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</row>
    <row r="8" spans="1:51" ht="11.25" customHeight="1" thickBot="1" x14ac:dyDescent="0.3"/>
    <row r="9" spans="1:51" s="12" customFormat="1" ht="16.5" customHeight="1" x14ac:dyDescent="0.25">
      <c r="A9" s="109" t="s">
        <v>1</v>
      </c>
      <c r="B9" s="107" t="s">
        <v>2</v>
      </c>
      <c r="C9" s="107" t="s">
        <v>3</v>
      </c>
      <c r="D9" s="21">
        <f ca="1">VLOOKUP($C$2,Calendar!$B$3:$AG$14,2,FALSE)</f>
        <v>43466</v>
      </c>
      <c r="E9" s="21">
        <f ca="1">VLOOKUP($C$2,Calendar!$B$3:$AG$14,3,FALSE)</f>
        <v>43467</v>
      </c>
      <c r="F9" s="21">
        <f ca="1">VLOOKUP($C$2,Calendar!$B$3:$AG$14,4,FALSE)</f>
        <v>43468</v>
      </c>
      <c r="G9" s="21">
        <f ca="1">VLOOKUP($C$2,Calendar!$B$3:$AG$14,5,FALSE)</f>
        <v>43469</v>
      </c>
      <c r="H9" s="21">
        <f ca="1">VLOOKUP($C$2,Calendar!$B$3:$AG$14,6,FALSE)</f>
        <v>43470</v>
      </c>
      <c r="I9" s="21">
        <f ca="1">VLOOKUP($C$2,Calendar!$B$3:$AG$14,7,FALSE)</f>
        <v>43471</v>
      </c>
      <c r="J9" s="21">
        <f ca="1">VLOOKUP($C$2,Calendar!$B$3:$AG$14,8,FALSE)</f>
        <v>43472</v>
      </c>
      <c r="K9" s="21">
        <f ca="1">VLOOKUP($C$2,Calendar!$B$3:$AG$14,9,FALSE)</f>
        <v>43473</v>
      </c>
      <c r="L9" s="21">
        <f ca="1">VLOOKUP($C$2,Calendar!$B$3:$AG$14,10,FALSE)</f>
        <v>43474</v>
      </c>
      <c r="M9" s="21">
        <f ca="1">VLOOKUP($C$2,Calendar!$B$3:$AG$14,11,FALSE)</f>
        <v>43475</v>
      </c>
      <c r="N9" s="21">
        <f ca="1">VLOOKUP($C$2,Calendar!$B$3:$AG$14,12,FALSE)</f>
        <v>43476</v>
      </c>
      <c r="O9" s="21">
        <f ca="1">VLOOKUP($C$2,Calendar!$B$3:$AG$14,13,FALSE)</f>
        <v>43477</v>
      </c>
      <c r="P9" s="21">
        <f ca="1">VLOOKUP($C$2,Calendar!$B$3:$AG$14,14,FALSE)</f>
        <v>43478</v>
      </c>
      <c r="Q9" s="21">
        <f ca="1">VLOOKUP($C$2,Calendar!$B$3:$AG$14,15,FALSE)</f>
        <v>43479</v>
      </c>
      <c r="R9" s="21">
        <f ca="1">VLOOKUP($C$2,Calendar!$B$3:$AG$14,16,FALSE)</f>
        <v>43480</v>
      </c>
      <c r="S9" s="21">
        <f ca="1">VLOOKUP($C$2,Calendar!$B$3:$AG$14,17,FALSE)</f>
        <v>43481</v>
      </c>
      <c r="T9" s="21">
        <f ca="1">VLOOKUP($C$2,Calendar!$B$3:$AG$14,18,FALSE)</f>
        <v>43482</v>
      </c>
      <c r="U9" s="21">
        <f ca="1">VLOOKUP($C$2,Calendar!$B$3:$AG$14,19,FALSE)</f>
        <v>43483</v>
      </c>
      <c r="V9" s="21">
        <f ca="1">VLOOKUP($C$2,Calendar!$B$3:$AG$14,20,FALSE)</f>
        <v>43484</v>
      </c>
      <c r="W9" s="21">
        <f ca="1">VLOOKUP($C$2,Calendar!$B$3:$AG$14,21,FALSE)</f>
        <v>43485</v>
      </c>
      <c r="X9" s="21">
        <f ca="1">VLOOKUP($C$2,Calendar!$B$3:$AG$14,22,FALSE)</f>
        <v>43486</v>
      </c>
      <c r="Y9" s="21">
        <f ca="1">VLOOKUP($C$2,Calendar!$B$3:$AG$14,23,FALSE)</f>
        <v>43487</v>
      </c>
      <c r="Z9" s="21">
        <f ca="1">VLOOKUP($C$2,Calendar!$B$3:$AG$14,24,FALSE)</f>
        <v>43488</v>
      </c>
      <c r="AA9" s="21">
        <f ca="1">VLOOKUP($C$2,Calendar!$B$3:$AG$14,25,FALSE)</f>
        <v>43489</v>
      </c>
      <c r="AB9" s="21">
        <f ca="1">VLOOKUP($C$2,Calendar!$B$3:$AG$14,26,FALSE)</f>
        <v>43490</v>
      </c>
      <c r="AC9" s="21">
        <f ca="1">VLOOKUP($C$2,Calendar!$B$3:$AG$14,27,FALSE)</f>
        <v>43491</v>
      </c>
      <c r="AD9" s="21">
        <f ca="1">VLOOKUP($C$2,Calendar!$B$3:$AG$14,28,FALSE)</f>
        <v>43492</v>
      </c>
      <c r="AE9" s="21">
        <f ca="1">VLOOKUP($C$2,Calendar!$B$3:$AG$14,29,FALSE)</f>
        <v>43493</v>
      </c>
      <c r="AF9" s="21">
        <f ca="1">VLOOKUP($C$2,Calendar!$B$3:$AG$14,30,FALSE)</f>
        <v>43494</v>
      </c>
      <c r="AG9" s="21">
        <f ca="1">VLOOKUP($C$2,Calendar!$B$3:$AG$14,31,FALSE)</f>
        <v>43495</v>
      </c>
      <c r="AH9" s="21">
        <f ca="1">VLOOKUP($C$2,Calendar!$B$3:$AG$14,32,FALSE)</f>
        <v>43496</v>
      </c>
      <c r="AI9" s="102" t="s">
        <v>5</v>
      </c>
      <c r="AJ9" s="102" t="s">
        <v>6</v>
      </c>
      <c r="AK9" s="111" t="s">
        <v>83</v>
      </c>
      <c r="AL9" s="104" t="s">
        <v>4</v>
      </c>
    </row>
    <row r="10" spans="1:51" s="12" customFormat="1" ht="16.5" customHeight="1" x14ac:dyDescent="0.25">
      <c r="A10" s="110"/>
      <c r="B10" s="108"/>
      <c r="C10" s="108"/>
      <c r="D10" s="17" t="str">
        <f ca="1">IF(ISNUMBER(MATCH(D9,Праздники!$A$2:$A$33,0)),"Пр",D9)</f>
        <v>Пр</v>
      </c>
      <c r="E10" s="17" t="str">
        <f ca="1">IF(ISNUMBER(MATCH(E9,Праздники!$A$2:$A$33,0)),"Пр",E9)</f>
        <v>Пр</v>
      </c>
      <c r="F10" s="17">
        <f ca="1">IF(ISNUMBER(MATCH(F9,Праздники!$A$2:$A$33,0)),"Пр",F9)</f>
        <v>43468</v>
      </c>
      <c r="G10" s="17">
        <f ca="1">IF(ISNUMBER(MATCH(G9,Праздники!$A$2:$A$33,0)),"Пр",G9)</f>
        <v>43469</v>
      </c>
      <c r="H10" s="17">
        <f ca="1">IF(ISNUMBER(MATCH(H9,Праздники!$A$2:$A$33,0)),"Пр",H9)</f>
        <v>43470</v>
      </c>
      <c r="I10" s="17">
        <f ca="1">IF(ISNUMBER(MATCH(I9,Праздники!$A$2:$A$33,0)),"Пр",I9)</f>
        <v>43471</v>
      </c>
      <c r="J10" s="17" t="str">
        <f ca="1">IF(ISNUMBER(MATCH(J9,Праздники!$A$2:$A$33,0)),"Пр",J9)</f>
        <v>Пр</v>
      </c>
      <c r="K10" s="17">
        <f ca="1">IF(ISNUMBER(MATCH(K9,Праздники!$A$2:$A$33,0)),"Пр",K9)</f>
        <v>43473</v>
      </c>
      <c r="L10" s="17">
        <f ca="1">IF(ISNUMBER(MATCH(L9,Праздники!$A$2:$A$33,0)),"Пр",L9)</f>
        <v>43474</v>
      </c>
      <c r="M10" s="17">
        <f ca="1">IF(ISNUMBER(MATCH(M9,Праздники!$A$2:$A$33,0)),"Пр",M9)</f>
        <v>43475</v>
      </c>
      <c r="N10" s="17">
        <f ca="1">IF(ISNUMBER(MATCH(N9,Праздники!$A$2:$A$33,0)),"Пр",N9)</f>
        <v>43476</v>
      </c>
      <c r="O10" s="17">
        <f ca="1">IF(ISNUMBER(MATCH(O9,Праздники!$A$2:$A$33,0)),"Пр",O9)</f>
        <v>43477</v>
      </c>
      <c r="P10" s="17">
        <f ca="1">IF(ISNUMBER(MATCH(P9,Праздники!$A$2:$A$33,0)),"Пр",P9)</f>
        <v>43478</v>
      </c>
      <c r="Q10" s="17">
        <f ca="1">IF(ISNUMBER(MATCH(Q9,Праздники!$A$2:$A$33,0)),"Пр",Q9)</f>
        <v>43479</v>
      </c>
      <c r="R10" s="17">
        <f ca="1">IF(ISNUMBER(MATCH(R9,Праздники!$A$2:$A$33,0)),"Пр",R9)</f>
        <v>43480</v>
      </c>
      <c r="S10" s="17">
        <f ca="1">IF(ISNUMBER(MATCH(S9,Праздники!$A$2:$A$33,0)),"Пр",S9)</f>
        <v>43481</v>
      </c>
      <c r="T10" s="17">
        <f ca="1">IF(ISNUMBER(MATCH(T9,Праздники!$A$2:$A$33,0)),"Пр",T9)</f>
        <v>43482</v>
      </c>
      <c r="U10" s="17">
        <f ca="1">IF(ISNUMBER(MATCH(U9,Праздники!$A$2:$A$33,0)),"Пр",U9)</f>
        <v>43483</v>
      </c>
      <c r="V10" s="17">
        <f ca="1">IF(ISNUMBER(MATCH(V9,Праздники!$A$2:$A$33,0)),"Пр",V9)</f>
        <v>43484</v>
      </c>
      <c r="W10" s="17">
        <f ca="1">IF(ISNUMBER(MATCH(W9,Праздники!$A$2:$A$33,0)),"Пр",W9)</f>
        <v>43485</v>
      </c>
      <c r="X10" s="17">
        <f ca="1">IF(ISNUMBER(MATCH(X9,Праздники!$A$2:$A$33,0)),"Пр",X9)</f>
        <v>43486</v>
      </c>
      <c r="Y10" s="17">
        <f ca="1">IF(ISNUMBER(MATCH(Y9,Праздники!$A$2:$A$33,0)),"Пр",Y9)</f>
        <v>43487</v>
      </c>
      <c r="Z10" s="17">
        <f ca="1">IF(ISNUMBER(MATCH(Z9,Праздники!$A$2:$A$33,0)),"Пр",Z9)</f>
        <v>43488</v>
      </c>
      <c r="AA10" s="17">
        <f ca="1">IF(ISNUMBER(MATCH(AA9,Праздники!$A$2:$A$33,0)),"Пр",AA9)</f>
        <v>43489</v>
      </c>
      <c r="AB10" s="17">
        <f ca="1">IF(ISNUMBER(MATCH(AB9,Праздники!$A$2:$A$33,0)),"Пр",AB9)</f>
        <v>43490</v>
      </c>
      <c r="AC10" s="17">
        <f ca="1">IF(ISNUMBER(MATCH(AC9,Праздники!$A$2:$A$33,0)),"Пр",AC9)</f>
        <v>43491</v>
      </c>
      <c r="AD10" s="17">
        <f ca="1">IF(ISNUMBER(MATCH(AD9,Праздники!$A$2:$A$33,0)),"Пр",AD9)</f>
        <v>43492</v>
      </c>
      <c r="AE10" s="17">
        <f ca="1">IF(ISNUMBER(MATCH(AE9,Праздники!$A$2:$A$33,0)),"Пр",AE9)</f>
        <v>43493</v>
      </c>
      <c r="AF10" s="17">
        <f ca="1">IF(ISNUMBER(MATCH(AF9,Праздники!$A$2:$A$33,0)),"Пр",AF9)</f>
        <v>43494</v>
      </c>
      <c r="AG10" s="17">
        <f ca="1">IF(ISNUMBER(MATCH(AG9,Праздники!$A$2:$A$33,0)),"Пр",AG9)</f>
        <v>43495</v>
      </c>
      <c r="AH10" s="17">
        <f ca="1">IF(ISNUMBER(MATCH(AH9,Праздники!$A$2:$A$33,0)),"Пр",AH9)</f>
        <v>43496</v>
      </c>
      <c r="AI10" s="103"/>
      <c r="AJ10" s="103"/>
      <c r="AK10" s="112"/>
      <c r="AL10" s="105"/>
    </row>
    <row r="11" spans="1:51" s="12" customFormat="1" ht="0.75" customHeight="1" x14ac:dyDescent="0.25">
      <c r="A11" s="110"/>
      <c r="B11" s="108"/>
      <c r="C11" s="108"/>
      <c r="D11" s="17" t="str">
        <f ca="1">IFERROR(HLOOKUP(D9,Праздники!$B$7:$AE$8,2,FALSE),"")</f>
        <v/>
      </c>
      <c r="E11" s="17" t="str">
        <f ca="1">IFERROR(HLOOKUP(E9,Праздники!$B$7:$AE$8,2,FALSE),"")</f>
        <v/>
      </c>
      <c r="F11" s="17" t="str">
        <f ca="1">IFERROR(HLOOKUP(F9,Праздники!$B$7:$AE$8,2,FALSE),"")</f>
        <v/>
      </c>
      <c r="G11" s="17" t="str">
        <f ca="1">IFERROR(HLOOKUP(G9,Праздники!$B$7:$AE$8,2,FALSE),"")</f>
        <v/>
      </c>
      <c r="H11" s="17" t="str">
        <f ca="1">IFERROR(HLOOKUP(H9,Праздники!$B$7:$AE$8,2,FALSE),"")</f>
        <v/>
      </c>
      <c r="I11" s="17" t="str">
        <f ca="1">IFERROR(HLOOKUP(I9,Праздники!$B$7:$AE$8,2,FALSE),"")</f>
        <v/>
      </c>
      <c r="J11" s="17" t="str">
        <f ca="1">IFERROR(HLOOKUP(J9,Праздники!$B$7:$AE$8,2,FALSE),"")</f>
        <v/>
      </c>
      <c r="K11" s="17" t="str">
        <f ca="1">IFERROR(HLOOKUP(K9,Праздники!$B$7:$AE$8,2,FALSE),"")</f>
        <v/>
      </c>
      <c r="L11" s="17" t="str">
        <f ca="1">IFERROR(HLOOKUP(L9,Праздники!$B$7:$AE$8,2,FALSE),"")</f>
        <v/>
      </c>
      <c r="M11" s="17" t="str">
        <f ca="1">IFERROR(HLOOKUP(M9,Праздники!$B$7:$AE$8,2,FALSE),"")</f>
        <v/>
      </c>
      <c r="N11" s="17" t="str">
        <f ca="1">IFERROR(HLOOKUP(N9,Праздники!$B$7:$AE$8,2,FALSE),"")</f>
        <v/>
      </c>
      <c r="O11" s="17" t="str">
        <f ca="1">IFERROR(HLOOKUP(O9,Праздники!$B$7:$AE$8,2,FALSE),"")</f>
        <v/>
      </c>
      <c r="P11" s="17" t="str">
        <f ca="1">IFERROR(HLOOKUP(P9,Праздники!$B$7:$AE$8,2,FALSE),"")</f>
        <v/>
      </c>
      <c r="Q11" s="17" t="str">
        <f ca="1">IFERROR(HLOOKUP(Q9,Праздники!$B$7:$AE$8,2,FALSE),"")</f>
        <v/>
      </c>
      <c r="R11" s="17" t="str">
        <f ca="1">IFERROR(HLOOKUP(R9,Праздники!$B$7:$AE$8,2,FALSE),"")</f>
        <v/>
      </c>
      <c r="S11" s="17" t="str">
        <f ca="1">IFERROR(HLOOKUP(S9,Праздники!$B$7:$AE$8,2,FALSE),"")</f>
        <v/>
      </c>
      <c r="T11" s="17" t="str">
        <f ca="1">IFERROR(HLOOKUP(T9,Праздники!$B$7:$AE$8,2,FALSE),"")</f>
        <v/>
      </c>
      <c r="U11" s="17" t="str">
        <f ca="1">IFERROR(HLOOKUP(U9,Праздники!$B$7:$AE$8,2,FALSE),"")</f>
        <v/>
      </c>
      <c r="V11" s="17" t="str">
        <f ca="1">IFERROR(HLOOKUP(V9,Праздники!$B$7:$AE$8,2,FALSE),"")</f>
        <v/>
      </c>
      <c r="W11" s="17" t="str">
        <f ca="1">IFERROR(HLOOKUP(W9,Праздники!$B$7:$AE$8,2,FALSE),"")</f>
        <v/>
      </c>
      <c r="X11" s="17" t="str">
        <f ca="1">IFERROR(HLOOKUP(X9,Праздники!$B$7:$AE$8,2,FALSE),"")</f>
        <v/>
      </c>
      <c r="Y11" s="17" t="str">
        <f ca="1">IFERROR(HLOOKUP(Y9,Праздники!$B$7:$AE$8,2,FALSE),"")</f>
        <v/>
      </c>
      <c r="Z11" s="17" t="str">
        <f ca="1">IFERROR(HLOOKUP(Z9,Праздники!$B$7:$AE$8,2,FALSE),"")</f>
        <v/>
      </c>
      <c r="AA11" s="17" t="str">
        <f ca="1">IFERROR(HLOOKUP(AA9,Праздники!$B$7:$AE$8,2,FALSE),"")</f>
        <v/>
      </c>
      <c r="AB11" s="17" t="str">
        <f ca="1">IFERROR(HLOOKUP(AB9,Праздники!$B$7:$AE$8,2,FALSE),"")</f>
        <v/>
      </c>
      <c r="AC11" s="17" t="str">
        <f ca="1">IFERROR(HLOOKUP(AC9,Праздники!$B$7:$AE$8,2,FALSE),"")</f>
        <v/>
      </c>
      <c r="AD11" s="17" t="str">
        <f ca="1">IFERROR(HLOOKUP(AD9,Праздники!$B$7:$AE$8,2,FALSE),"")</f>
        <v/>
      </c>
      <c r="AE11" s="17" t="str">
        <f ca="1">IFERROR(HLOOKUP(AE9,Праздники!$B$7:$AE$8,2,FALSE),"")</f>
        <v/>
      </c>
      <c r="AF11" s="17" t="str">
        <f ca="1">IFERROR(HLOOKUP(AF9,Праздники!$B$7:$AE$8,2,FALSE),"")</f>
        <v/>
      </c>
      <c r="AG11" s="17" t="str">
        <f ca="1">IFERROR(HLOOKUP(AG9,Праздники!$B$7:$AE$8,2,FALSE),"")</f>
        <v/>
      </c>
      <c r="AH11" s="17" t="str">
        <f ca="1">IFERROR(HLOOKUP(AH9,Праздники!$B$7:$AE$8,2,FALSE),"")</f>
        <v/>
      </c>
      <c r="AI11" s="20"/>
      <c r="AJ11" s="20"/>
      <c r="AK11" s="93"/>
      <c r="AL11" s="22"/>
    </row>
    <row r="12" spans="1:51" ht="14.25" customHeight="1" x14ac:dyDescent="0.25">
      <c r="A12" s="23">
        <f>IF(ISBLANK(B12),"",COUNTA($B$12:B12))</f>
        <v>1</v>
      </c>
      <c r="B12" s="30" t="s">
        <v>24</v>
      </c>
      <c r="C12" s="30" t="s">
        <v>52</v>
      </c>
      <c r="D12" s="31"/>
      <c r="E12" s="31"/>
      <c r="F12" s="31">
        <v>8</v>
      </c>
      <c r="G12" s="31">
        <v>8</v>
      </c>
      <c r="H12" s="31"/>
      <c r="I12" s="31"/>
      <c r="J12" s="31"/>
      <c r="K12" s="31">
        <v>8</v>
      </c>
      <c r="L12" s="31">
        <v>8</v>
      </c>
      <c r="M12" s="31">
        <v>8</v>
      </c>
      <c r="N12" s="31">
        <v>8</v>
      </c>
      <c r="O12" s="31"/>
      <c r="P12" s="31"/>
      <c r="Q12" s="31">
        <v>8</v>
      </c>
      <c r="R12" s="31">
        <v>8</v>
      </c>
      <c r="S12" s="31">
        <v>8</v>
      </c>
      <c r="T12" s="31">
        <v>8</v>
      </c>
      <c r="U12" s="31">
        <v>8</v>
      </c>
      <c r="V12" s="31"/>
      <c r="W12" s="31"/>
      <c r="X12" s="31">
        <v>8</v>
      </c>
      <c r="Y12" s="31">
        <v>8</v>
      </c>
      <c r="Z12" s="31">
        <v>8</v>
      </c>
      <c r="AA12" s="31">
        <v>8</v>
      </c>
      <c r="AB12" s="31">
        <v>8</v>
      </c>
      <c r="AC12" s="31"/>
      <c r="AD12" s="31"/>
      <c r="AE12" s="31">
        <v>8</v>
      </c>
      <c r="AF12" s="31">
        <v>8</v>
      </c>
      <c r="AG12" s="31">
        <v>8</v>
      </c>
      <c r="AH12" s="31">
        <v>8</v>
      </c>
      <c r="AI12" s="18">
        <f>IF(A12=0,,SUMPRODUCT(--(D12:AH12&lt;"")))</f>
        <v>20</v>
      </c>
      <c r="AJ12" s="18">
        <f>IF(A12=0,,SUM(D12:AH12))</f>
        <v>160</v>
      </c>
      <c r="AK12" s="97">
        <f>IFERROR(INDEX('ЗП АУП'!T$5:AE$14,MATCH(C12,'ЗП АУП'!S$5:S$14,),MONTH(C$1)),)</f>
        <v>1510.41875</v>
      </c>
      <c r="AL12" s="98">
        <f>IF(AK12=0,"",AJ12*AK12)</f>
        <v>241667</v>
      </c>
      <c r="AY12" s="7" t="s">
        <v>23</v>
      </c>
    </row>
    <row r="13" spans="1:51" ht="14.25" customHeight="1" x14ac:dyDescent="0.25">
      <c r="A13" s="23">
        <f>IF(ISBLANK(B13),"",COUNTA($B$12:B13))</f>
        <v>2</v>
      </c>
      <c r="B13" s="30" t="s">
        <v>25</v>
      </c>
      <c r="C13" s="30" t="s">
        <v>84</v>
      </c>
      <c r="D13" s="31"/>
      <c r="E13" s="31"/>
      <c r="F13" s="31">
        <v>8</v>
      </c>
      <c r="G13" s="31">
        <v>8</v>
      </c>
      <c r="H13" s="31"/>
      <c r="I13" s="31"/>
      <c r="J13" s="31"/>
      <c r="K13" s="31">
        <v>8</v>
      </c>
      <c r="L13" s="31">
        <v>8</v>
      </c>
      <c r="M13" s="31">
        <v>8</v>
      </c>
      <c r="N13" s="31">
        <v>8</v>
      </c>
      <c r="O13" s="31"/>
      <c r="P13" s="31"/>
      <c r="Q13" s="31">
        <v>8</v>
      </c>
      <c r="R13" s="31">
        <v>8</v>
      </c>
      <c r="S13" s="31">
        <v>8</v>
      </c>
      <c r="T13" s="31">
        <v>8</v>
      </c>
      <c r="U13" s="31">
        <v>8</v>
      </c>
      <c r="V13" s="31"/>
      <c r="W13" s="31"/>
      <c r="X13" s="31">
        <v>8</v>
      </c>
      <c r="Y13" s="31">
        <v>8</v>
      </c>
      <c r="Z13" s="31">
        <v>8</v>
      </c>
      <c r="AA13" s="31">
        <v>8</v>
      </c>
      <c r="AB13" s="31">
        <v>8</v>
      </c>
      <c r="AC13" s="31"/>
      <c r="AD13" s="31"/>
      <c r="AE13" s="31">
        <v>8</v>
      </c>
      <c r="AF13" s="31">
        <v>8</v>
      </c>
      <c r="AG13" s="31">
        <v>8</v>
      </c>
      <c r="AH13" s="31">
        <v>8</v>
      </c>
      <c r="AI13" s="18">
        <f t="shared" ref="AI13:AI26" si="0">IF(A13=0,,SUMPRODUCT(--(D13:AH13&lt;"")))</f>
        <v>20</v>
      </c>
      <c r="AJ13" s="18">
        <f t="shared" ref="AJ13:AJ26" si="1">IF(A13=0,,SUM(D13:AH13))</f>
        <v>160</v>
      </c>
      <c r="AK13" s="94">
        <f>IFERROR(INDEX('ЗП АУП'!T$5:AE$14,MATCH(C13,'ЗП АУП'!S$5:S$14,),MONTH(C$1)),)</f>
        <v>1356.1</v>
      </c>
      <c r="AL13" s="98">
        <f t="shared" ref="AL13:AL26" si="2">IF(AK13=0,"",AJ13*AK13)</f>
        <v>216976</v>
      </c>
      <c r="AY13" s="7" t="s">
        <v>9</v>
      </c>
    </row>
    <row r="14" spans="1:51" ht="14.25" customHeight="1" x14ac:dyDescent="0.25">
      <c r="A14" s="23">
        <f>IF(ISBLANK(B14),"",COUNTA($B$12:B14))</f>
        <v>3</v>
      </c>
      <c r="B14" s="30" t="s">
        <v>26</v>
      </c>
      <c r="C14" s="30" t="s">
        <v>54</v>
      </c>
      <c r="D14" s="31"/>
      <c r="E14" s="31"/>
      <c r="F14" s="31">
        <v>8</v>
      </c>
      <c r="G14" s="31">
        <v>8</v>
      </c>
      <c r="H14" s="31"/>
      <c r="I14" s="31"/>
      <c r="J14" s="31"/>
      <c r="K14" s="31">
        <v>8</v>
      </c>
      <c r="L14" s="31">
        <v>8</v>
      </c>
      <c r="M14" s="31">
        <v>8</v>
      </c>
      <c r="N14" s="31">
        <v>8</v>
      </c>
      <c r="O14" s="31"/>
      <c r="P14" s="31"/>
      <c r="Q14" s="31">
        <v>8</v>
      </c>
      <c r="R14" s="31">
        <v>8</v>
      </c>
      <c r="S14" s="31">
        <v>8</v>
      </c>
      <c r="T14" s="31">
        <v>8</v>
      </c>
      <c r="U14" s="31">
        <v>8</v>
      </c>
      <c r="V14" s="31"/>
      <c r="W14" s="31"/>
      <c r="X14" s="31">
        <v>8</v>
      </c>
      <c r="Y14" s="31">
        <v>8</v>
      </c>
      <c r="Z14" s="31">
        <v>8</v>
      </c>
      <c r="AA14" s="31">
        <v>8</v>
      </c>
      <c r="AB14" s="31">
        <v>8</v>
      </c>
      <c r="AC14" s="31"/>
      <c r="AD14" s="31"/>
      <c r="AE14" s="31">
        <v>8</v>
      </c>
      <c r="AF14" s="31">
        <v>8</v>
      </c>
      <c r="AG14" s="31">
        <v>8</v>
      </c>
      <c r="AH14" s="31">
        <v>8</v>
      </c>
      <c r="AI14" s="18">
        <f t="shared" si="0"/>
        <v>20</v>
      </c>
      <c r="AJ14" s="18">
        <f t="shared" si="1"/>
        <v>160</v>
      </c>
      <c r="AK14" s="94">
        <f>IFERROR(INDEX('ЗП АУП'!T$5:AE$14,MATCH(C14,'ЗП АУП'!S$5:S$14,),MONTH(C$1)),)</f>
        <v>125</v>
      </c>
      <c r="AL14" s="98">
        <f t="shared" si="2"/>
        <v>20000</v>
      </c>
      <c r="AY14" s="7" t="s">
        <v>10</v>
      </c>
    </row>
    <row r="15" spans="1:51" ht="14.25" customHeight="1" x14ac:dyDescent="0.25">
      <c r="A15" s="23">
        <f>IF(ISBLANK(B15),"",COUNTA($B$12:B15))</f>
        <v>4</v>
      </c>
      <c r="B15" s="30" t="s">
        <v>28</v>
      </c>
      <c r="C15" s="30" t="s">
        <v>53</v>
      </c>
      <c r="D15" s="31"/>
      <c r="E15" s="31"/>
      <c r="F15" s="31">
        <v>8</v>
      </c>
      <c r="G15" s="31">
        <v>8</v>
      </c>
      <c r="H15" s="31"/>
      <c r="I15" s="31"/>
      <c r="J15" s="31"/>
      <c r="K15" s="31">
        <v>8</v>
      </c>
      <c r="L15" s="31">
        <v>8</v>
      </c>
      <c r="M15" s="31">
        <v>8</v>
      </c>
      <c r="N15" s="31">
        <v>8</v>
      </c>
      <c r="O15" s="31"/>
      <c r="P15" s="31"/>
      <c r="Q15" s="31">
        <v>8</v>
      </c>
      <c r="R15" s="31">
        <v>8</v>
      </c>
      <c r="S15" s="31">
        <v>8</v>
      </c>
      <c r="T15" s="31">
        <v>8</v>
      </c>
      <c r="U15" s="31">
        <v>8</v>
      </c>
      <c r="V15" s="31"/>
      <c r="W15" s="31"/>
      <c r="X15" s="31">
        <v>8</v>
      </c>
      <c r="Y15" s="31">
        <v>8</v>
      </c>
      <c r="Z15" s="31">
        <v>8</v>
      </c>
      <c r="AA15" s="31">
        <v>8</v>
      </c>
      <c r="AB15" s="31">
        <v>8</v>
      </c>
      <c r="AC15" s="31"/>
      <c r="AD15" s="31"/>
      <c r="AE15" s="31">
        <v>8</v>
      </c>
      <c r="AF15" s="31">
        <v>8</v>
      </c>
      <c r="AG15" s="31">
        <v>8</v>
      </c>
      <c r="AH15" s="31">
        <v>8</v>
      </c>
      <c r="AI15" s="18">
        <f t="shared" si="0"/>
        <v>20</v>
      </c>
      <c r="AJ15" s="18">
        <f t="shared" si="1"/>
        <v>160</v>
      </c>
      <c r="AK15" s="94">
        <f>IFERROR(INDEX('ЗП АУП'!T$5:AE$14,MATCH(C15,'ЗП АУП'!S$5:S$14,),MONTH(C$1)),)</f>
        <v>937.5</v>
      </c>
      <c r="AL15" s="98">
        <f t="shared" si="2"/>
        <v>150000</v>
      </c>
      <c r="AY15" s="7" t="s">
        <v>11</v>
      </c>
    </row>
    <row r="16" spans="1:51" ht="14.25" customHeight="1" x14ac:dyDescent="0.25">
      <c r="A16" s="23">
        <f>IF(ISBLANK(B16),"",COUNTA($B$12:B16))</f>
        <v>5</v>
      </c>
      <c r="B16" s="30" t="s">
        <v>27</v>
      </c>
      <c r="C16" s="30" t="s">
        <v>14</v>
      </c>
      <c r="D16" s="31"/>
      <c r="E16" s="31"/>
      <c r="F16" s="31">
        <v>8</v>
      </c>
      <c r="G16" s="31">
        <v>8</v>
      </c>
      <c r="H16" s="31"/>
      <c r="I16" s="31"/>
      <c r="J16" s="31"/>
      <c r="K16" s="31">
        <v>8</v>
      </c>
      <c r="L16" s="31">
        <v>8</v>
      </c>
      <c r="M16" s="31">
        <v>8</v>
      </c>
      <c r="N16" s="31">
        <v>8</v>
      </c>
      <c r="O16" s="31"/>
      <c r="P16" s="31"/>
      <c r="Q16" s="31">
        <v>8</v>
      </c>
      <c r="R16" s="31">
        <v>8</v>
      </c>
      <c r="S16" s="31">
        <v>8</v>
      </c>
      <c r="T16" s="31">
        <v>8</v>
      </c>
      <c r="U16" s="31">
        <v>8</v>
      </c>
      <c r="V16" s="31"/>
      <c r="W16" s="31"/>
      <c r="X16" s="31">
        <v>8</v>
      </c>
      <c r="Y16" s="31">
        <v>8</v>
      </c>
      <c r="Z16" s="31">
        <v>8</v>
      </c>
      <c r="AA16" s="31">
        <v>8</v>
      </c>
      <c r="AB16" s="31">
        <v>8</v>
      </c>
      <c r="AC16" s="31"/>
      <c r="AD16" s="31"/>
      <c r="AE16" s="31">
        <v>8</v>
      </c>
      <c r="AF16" s="31">
        <v>8</v>
      </c>
      <c r="AG16" s="31">
        <v>8</v>
      </c>
      <c r="AH16" s="31">
        <v>8</v>
      </c>
      <c r="AI16" s="18">
        <f>IF(A16=0,,SUMPRODUCT(--(D16:AH16&lt;"")))</f>
        <v>20</v>
      </c>
      <c r="AJ16" s="18">
        <f t="shared" si="1"/>
        <v>160</v>
      </c>
      <c r="AK16" s="94">
        <f>IFERROR(INDEX('ЗП АУП'!T$5:AE$14,MATCH(C16,'ЗП АУП'!S$5:S$14,),MONTH(C$1)),)</f>
        <v>1015.625</v>
      </c>
      <c r="AL16" s="98">
        <f t="shared" si="2"/>
        <v>162500</v>
      </c>
      <c r="AY16" s="7" t="s">
        <v>13</v>
      </c>
    </row>
    <row r="17" spans="1:51" ht="14.25" customHeight="1" x14ac:dyDescent="0.25">
      <c r="A17" s="23">
        <f>IF(ISBLANK(B17),"",COUNTA($B$12:B17))</f>
        <v>6</v>
      </c>
      <c r="B17" s="30" t="s">
        <v>29</v>
      </c>
      <c r="C17" s="30" t="s">
        <v>55</v>
      </c>
      <c r="D17" s="31"/>
      <c r="E17" s="31"/>
      <c r="F17" s="31">
        <v>8</v>
      </c>
      <c r="G17" s="31">
        <v>8</v>
      </c>
      <c r="H17" s="31"/>
      <c r="I17" s="31"/>
      <c r="J17" s="31"/>
      <c r="K17" s="31">
        <v>8</v>
      </c>
      <c r="L17" s="31">
        <v>8</v>
      </c>
      <c r="M17" s="31">
        <v>8</v>
      </c>
      <c r="N17" s="31">
        <v>8</v>
      </c>
      <c r="O17" s="31"/>
      <c r="P17" s="31"/>
      <c r="Q17" s="31">
        <v>8</v>
      </c>
      <c r="R17" s="31">
        <v>8</v>
      </c>
      <c r="S17" s="31">
        <v>8</v>
      </c>
      <c r="T17" s="31">
        <v>8</v>
      </c>
      <c r="U17" s="31">
        <v>8</v>
      </c>
      <c r="V17" s="31"/>
      <c r="W17" s="31"/>
      <c r="X17" s="31">
        <v>8</v>
      </c>
      <c r="Y17" s="31">
        <v>8</v>
      </c>
      <c r="Z17" s="31">
        <v>8</v>
      </c>
      <c r="AA17" s="31">
        <v>8</v>
      </c>
      <c r="AB17" s="31">
        <v>8</v>
      </c>
      <c r="AC17" s="31"/>
      <c r="AD17" s="31"/>
      <c r="AE17" s="31">
        <v>8</v>
      </c>
      <c r="AF17" s="31">
        <v>8</v>
      </c>
      <c r="AG17" s="31">
        <v>8</v>
      </c>
      <c r="AH17" s="31">
        <v>8</v>
      </c>
      <c r="AI17" s="18">
        <f t="shared" si="0"/>
        <v>20</v>
      </c>
      <c r="AJ17" s="18">
        <f t="shared" si="1"/>
        <v>160</v>
      </c>
      <c r="AK17" s="94">
        <f>IFERROR(INDEX('ЗП АУП'!T$5:AE$14,MATCH(C17,'ЗП АУП'!S$5:S$14,),MONTH(C$1)),)</f>
        <v>843.75</v>
      </c>
      <c r="AL17" s="98">
        <f t="shared" si="2"/>
        <v>135000</v>
      </c>
      <c r="AY17" s="7" t="s">
        <v>14</v>
      </c>
    </row>
    <row r="18" spans="1:51" ht="14.25" customHeight="1" x14ac:dyDescent="0.25">
      <c r="A18" s="23">
        <f>IF(ISBLANK(B18),"",COUNTA($B$12:B18))</f>
        <v>7</v>
      </c>
      <c r="B18" s="30" t="s">
        <v>30</v>
      </c>
      <c r="C18" s="30" t="s">
        <v>56</v>
      </c>
      <c r="D18" s="31"/>
      <c r="E18" s="31"/>
      <c r="F18" s="31">
        <v>8</v>
      </c>
      <c r="G18" s="31">
        <v>8</v>
      </c>
      <c r="H18" s="31"/>
      <c r="I18" s="31"/>
      <c r="J18" s="31"/>
      <c r="K18" s="31">
        <v>8</v>
      </c>
      <c r="L18" s="31">
        <v>8</v>
      </c>
      <c r="M18" s="31">
        <v>8</v>
      </c>
      <c r="N18" s="31">
        <v>8</v>
      </c>
      <c r="O18" s="31"/>
      <c r="P18" s="31"/>
      <c r="Q18" s="31">
        <v>8</v>
      </c>
      <c r="R18" s="31">
        <v>8</v>
      </c>
      <c r="S18" s="31">
        <v>8</v>
      </c>
      <c r="T18" s="31">
        <v>8</v>
      </c>
      <c r="U18" s="31">
        <v>8</v>
      </c>
      <c r="V18" s="31"/>
      <c r="W18" s="31"/>
      <c r="X18" s="31">
        <v>8</v>
      </c>
      <c r="Y18" s="31">
        <v>8</v>
      </c>
      <c r="Z18" s="31">
        <v>8</v>
      </c>
      <c r="AA18" s="31">
        <v>8</v>
      </c>
      <c r="AB18" s="31">
        <v>8</v>
      </c>
      <c r="AC18" s="31"/>
      <c r="AD18" s="31"/>
      <c r="AE18" s="31">
        <v>8</v>
      </c>
      <c r="AF18" s="31">
        <v>8</v>
      </c>
      <c r="AG18" s="31">
        <v>8</v>
      </c>
      <c r="AH18" s="31">
        <v>8</v>
      </c>
      <c r="AI18" s="18">
        <f>IF(A18=0,,SUMPRODUCT(--(D18:AH18&lt;"")))</f>
        <v>20</v>
      </c>
      <c r="AJ18" s="18">
        <f t="shared" si="1"/>
        <v>160</v>
      </c>
      <c r="AK18" s="94">
        <f>IFERROR(INDEX('ЗП АУП'!T$5:AE$14,MATCH(C18,'ЗП АУП'!S$5:S$14,),MONTH(C$1)),)</f>
        <v>562.5</v>
      </c>
      <c r="AL18" s="98">
        <f t="shared" si="2"/>
        <v>90000</v>
      </c>
      <c r="AY18" s="7" t="s">
        <v>15</v>
      </c>
    </row>
    <row r="19" spans="1:51" ht="14.25" customHeight="1" x14ac:dyDescent="0.25">
      <c r="A19" s="23">
        <f>IF(ISBLANK(B19),"",COUNTA($B$12:B19))</f>
        <v>8</v>
      </c>
      <c r="B19" s="30" t="s">
        <v>33</v>
      </c>
      <c r="C19" s="30" t="s">
        <v>56</v>
      </c>
      <c r="D19" s="31"/>
      <c r="E19" s="31"/>
      <c r="F19" s="31">
        <v>8</v>
      </c>
      <c r="G19" s="31">
        <v>8</v>
      </c>
      <c r="H19" s="31"/>
      <c r="I19" s="31"/>
      <c r="J19" s="31"/>
      <c r="K19" s="31">
        <v>8</v>
      </c>
      <c r="L19" s="31">
        <v>8</v>
      </c>
      <c r="M19" s="31">
        <v>8</v>
      </c>
      <c r="N19" s="31">
        <v>8</v>
      </c>
      <c r="O19" s="31"/>
      <c r="P19" s="31"/>
      <c r="Q19" s="31">
        <v>8</v>
      </c>
      <c r="R19" s="31">
        <v>8</v>
      </c>
      <c r="S19" s="31">
        <v>8</v>
      </c>
      <c r="T19" s="31">
        <v>8</v>
      </c>
      <c r="U19" s="31">
        <v>8</v>
      </c>
      <c r="V19" s="31"/>
      <c r="W19" s="31"/>
      <c r="X19" s="31">
        <v>8</v>
      </c>
      <c r="Y19" s="31">
        <v>8</v>
      </c>
      <c r="Z19" s="31">
        <v>8</v>
      </c>
      <c r="AA19" s="31">
        <v>8</v>
      </c>
      <c r="AB19" s="31">
        <v>8</v>
      </c>
      <c r="AC19" s="31"/>
      <c r="AD19" s="31"/>
      <c r="AE19" s="31">
        <v>8</v>
      </c>
      <c r="AF19" s="31">
        <v>8</v>
      </c>
      <c r="AG19" s="31">
        <v>8</v>
      </c>
      <c r="AH19" s="31">
        <v>8</v>
      </c>
      <c r="AI19" s="18">
        <f>IF(A19=0,,SUMPRODUCT(--(D19:AH19&lt;"")))</f>
        <v>20</v>
      </c>
      <c r="AJ19" s="18">
        <f t="shared" si="1"/>
        <v>160</v>
      </c>
      <c r="AK19" s="94">
        <f>IFERROR(INDEX('ЗП АУП'!T$5:AE$14,MATCH(C19,'ЗП АУП'!S$5:S$14,),MONTH(C$1)),)</f>
        <v>562.5</v>
      </c>
      <c r="AL19" s="98">
        <f t="shared" si="2"/>
        <v>90000</v>
      </c>
      <c r="AY19" s="7" t="s">
        <v>16</v>
      </c>
    </row>
    <row r="20" spans="1:51" ht="14.25" customHeight="1" x14ac:dyDescent="0.25">
      <c r="A20" s="23">
        <f>IF(ISBLANK(B20),"",COUNTA($B$12:B20))</f>
        <v>9</v>
      </c>
      <c r="B20" s="30" t="s">
        <v>31</v>
      </c>
      <c r="C20" s="30" t="s">
        <v>17</v>
      </c>
      <c r="D20" s="31"/>
      <c r="E20" s="31"/>
      <c r="F20" s="31">
        <v>8</v>
      </c>
      <c r="G20" s="31">
        <v>8</v>
      </c>
      <c r="H20" s="31"/>
      <c r="I20" s="31"/>
      <c r="J20" s="31"/>
      <c r="K20" s="31">
        <v>8</v>
      </c>
      <c r="L20" s="31">
        <v>8</v>
      </c>
      <c r="M20" s="31">
        <v>8</v>
      </c>
      <c r="N20" s="31">
        <v>8</v>
      </c>
      <c r="O20" s="31"/>
      <c r="P20" s="31"/>
      <c r="Q20" s="31">
        <v>8</v>
      </c>
      <c r="R20" s="31">
        <v>8</v>
      </c>
      <c r="S20" s="31">
        <v>8</v>
      </c>
      <c r="T20" s="31">
        <v>8</v>
      </c>
      <c r="U20" s="31">
        <v>8</v>
      </c>
      <c r="V20" s="31"/>
      <c r="W20" s="31"/>
      <c r="X20" s="31">
        <v>8</v>
      </c>
      <c r="Y20" s="31">
        <v>8</v>
      </c>
      <c r="Z20" s="31">
        <v>8</v>
      </c>
      <c r="AA20" s="31">
        <v>8</v>
      </c>
      <c r="AB20" s="31">
        <v>8</v>
      </c>
      <c r="AC20" s="31"/>
      <c r="AD20" s="31"/>
      <c r="AE20" s="31">
        <v>8</v>
      </c>
      <c r="AF20" s="31">
        <v>8</v>
      </c>
      <c r="AG20" s="31">
        <v>8</v>
      </c>
      <c r="AH20" s="31">
        <v>8</v>
      </c>
      <c r="AI20" s="18">
        <f t="shared" si="0"/>
        <v>20</v>
      </c>
      <c r="AJ20" s="18">
        <f t="shared" si="1"/>
        <v>160</v>
      </c>
      <c r="AK20" s="94">
        <f>IFERROR(INDEX('ЗП АУП'!T$5:AE$14,MATCH(C20,'ЗП АУП'!S$5:S$14,),MONTH(C$1)),)</f>
        <v>281.25</v>
      </c>
      <c r="AL20" s="98">
        <f t="shared" si="2"/>
        <v>45000</v>
      </c>
      <c r="AY20" s="7" t="s">
        <v>12</v>
      </c>
    </row>
    <row r="21" spans="1:51" ht="14.25" customHeight="1" x14ac:dyDescent="0.25">
      <c r="A21" s="23">
        <f>IF(ISBLANK(B21),"",COUNTA($B$12:B21))</f>
        <v>10</v>
      </c>
      <c r="B21" s="30" t="s">
        <v>32</v>
      </c>
      <c r="C21" s="30" t="s">
        <v>57</v>
      </c>
      <c r="D21" s="31"/>
      <c r="E21" s="31"/>
      <c r="F21" s="31">
        <v>8</v>
      </c>
      <c r="G21" s="31">
        <v>8</v>
      </c>
      <c r="H21" s="31"/>
      <c r="I21" s="31"/>
      <c r="J21" s="31"/>
      <c r="K21" s="31">
        <v>8</v>
      </c>
      <c r="L21" s="31">
        <v>8</v>
      </c>
      <c r="M21" s="31">
        <v>8</v>
      </c>
      <c r="N21" s="31">
        <v>8</v>
      </c>
      <c r="O21" s="31"/>
      <c r="P21" s="31"/>
      <c r="Q21" s="31">
        <v>8</v>
      </c>
      <c r="R21" s="31">
        <v>8</v>
      </c>
      <c r="S21" s="31">
        <v>8</v>
      </c>
      <c r="T21" s="31">
        <v>8</v>
      </c>
      <c r="U21" s="31">
        <v>8</v>
      </c>
      <c r="V21" s="31"/>
      <c r="W21" s="31"/>
      <c r="X21" s="31">
        <v>8</v>
      </c>
      <c r="Y21" s="31">
        <v>8</v>
      </c>
      <c r="Z21" s="31">
        <v>8</v>
      </c>
      <c r="AA21" s="31">
        <v>8</v>
      </c>
      <c r="AB21" s="31">
        <v>8</v>
      </c>
      <c r="AC21" s="31"/>
      <c r="AD21" s="31"/>
      <c r="AE21" s="31">
        <v>8</v>
      </c>
      <c r="AF21" s="31">
        <v>8</v>
      </c>
      <c r="AG21" s="31">
        <v>8</v>
      </c>
      <c r="AH21" s="31">
        <v>8</v>
      </c>
      <c r="AI21" s="18">
        <f t="shared" si="0"/>
        <v>20</v>
      </c>
      <c r="AJ21" s="18">
        <f t="shared" si="1"/>
        <v>160</v>
      </c>
      <c r="AK21" s="94">
        <f>IFERROR(INDEX('ЗП АУП'!T$5:AE$14,MATCH(C21,'ЗП АУП'!S$5:S$14,),MONTH(C$1)),)</f>
        <v>437.5</v>
      </c>
      <c r="AL21" s="98">
        <f t="shared" si="2"/>
        <v>70000</v>
      </c>
      <c r="AY21" s="7" t="s">
        <v>17</v>
      </c>
    </row>
    <row r="22" spans="1:51" ht="14.25" customHeight="1" x14ac:dyDescent="0.25">
      <c r="A22" s="23">
        <f>IF(ISBLANK(B22),"",COUNTA($B$12:B22))</f>
        <v>11</v>
      </c>
      <c r="B22" s="30" t="s">
        <v>35</v>
      </c>
      <c r="C22" s="30" t="s">
        <v>12</v>
      </c>
      <c r="D22" s="31"/>
      <c r="E22" s="31"/>
      <c r="F22" s="31">
        <v>8</v>
      </c>
      <c r="G22" s="31">
        <v>8</v>
      </c>
      <c r="H22" s="31"/>
      <c r="I22" s="31"/>
      <c r="J22" s="31"/>
      <c r="K22" s="31">
        <v>8</v>
      </c>
      <c r="L22" s="31">
        <v>8</v>
      </c>
      <c r="M22" s="31">
        <v>8</v>
      </c>
      <c r="N22" s="31">
        <v>8</v>
      </c>
      <c r="O22" s="31"/>
      <c r="P22" s="31"/>
      <c r="Q22" s="31">
        <v>8</v>
      </c>
      <c r="R22" s="31">
        <v>8</v>
      </c>
      <c r="S22" s="31">
        <v>8</v>
      </c>
      <c r="T22" s="31">
        <v>8</v>
      </c>
      <c r="U22" s="31">
        <v>8</v>
      </c>
      <c r="V22" s="31"/>
      <c r="W22" s="31"/>
      <c r="X22" s="31">
        <v>8</v>
      </c>
      <c r="Y22" s="31">
        <v>8</v>
      </c>
      <c r="Z22" s="31">
        <v>8</v>
      </c>
      <c r="AA22" s="31">
        <v>8</v>
      </c>
      <c r="AB22" s="31">
        <v>8</v>
      </c>
      <c r="AC22" s="31"/>
      <c r="AD22" s="31"/>
      <c r="AE22" s="31">
        <v>8</v>
      </c>
      <c r="AF22" s="31">
        <v>8</v>
      </c>
      <c r="AG22" s="31">
        <v>8</v>
      </c>
      <c r="AH22" s="31">
        <v>8</v>
      </c>
      <c r="AI22" s="18">
        <f t="shared" si="0"/>
        <v>20</v>
      </c>
      <c r="AJ22" s="18">
        <f t="shared" si="1"/>
        <v>160</v>
      </c>
      <c r="AK22" s="94">
        <f>IFERROR(INDEX('ЗП АУП'!T$5:AE$14,MATCH(C22,'ЗП АУП'!S$5:S$14,),MONTH(C$1)),)</f>
        <v>265.625</v>
      </c>
      <c r="AL22" s="98">
        <f t="shared" si="2"/>
        <v>42500</v>
      </c>
      <c r="AY22" s="7" t="s">
        <v>18</v>
      </c>
    </row>
    <row r="23" spans="1:51" ht="14.25" customHeight="1" x14ac:dyDescent="0.25">
      <c r="A23" s="23" t="str">
        <f>IF(ISBLANK(B23),"",COUNTA($B$12:B23))</f>
        <v/>
      </c>
      <c r="B23" s="30"/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18">
        <f t="shared" si="0"/>
        <v>0</v>
      </c>
      <c r="AJ23" s="18">
        <f t="shared" si="1"/>
        <v>0</v>
      </c>
      <c r="AK23" s="94">
        <f>IFERROR(INDEX('ЗП АУП'!T$5:AE$14,MATCH(C23,'ЗП АУП'!S$5:S$14,),MONTH(C$1)),)</f>
        <v>0</v>
      </c>
      <c r="AL23" s="98" t="str">
        <f t="shared" si="2"/>
        <v/>
      </c>
    </row>
    <row r="24" spans="1:51" ht="14.25" customHeight="1" x14ac:dyDescent="0.25">
      <c r="A24" s="23" t="str">
        <f>IF(ISBLANK(B24),"",COUNTA($B$12:B24))</f>
        <v/>
      </c>
      <c r="B24" s="30"/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18">
        <f t="shared" si="0"/>
        <v>0</v>
      </c>
      <c r="AJ24" s="18">
        <f t="shared" si="1"/>
        <v>0</v>
      </c>
      <c r="AK24" s="94">
        <f>IFERROR(INDEX('ЗП АУП'!T$5:AE$14,MATCH(C24,'ЗП АУП'!S$5:S$14,),MONTH(C$1)),)</f>
        <v>0</v>
      </c>
      <c r="AL24" s="98" t="str">
        <f t="shared" si="2"/>
        <v/>
      </c>
    </row>
    <row r="25" spans="1:51" ht="14.25" customHeight="1" x14ac:dyDescent="0.25">
      <c r="A25" s="23" t="str">
        <f>IF(ISBLANK(B25),"",COUNTA($B$12:B25))</f>
        <v/>
      </c>
      <c r="B25" s="30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18">
        <f t="shared" si="0"/>
        <v>0</v>
      </c>
      <c r="AJ25" s="18">
        <f t="shared" si="1"/>
        <v>0</v>
      </c>
      <c r="AK25" s="94">
        <f>IFERROR(INDEX('ЗП АУП'!T$5:AE$14,MATCH(C25,'ЗП АУП'!S$5:S$14,),MONTH(C$1)),)</f>
        <v>0</v>
      </c>
      <c r="AL25" s="98" t="str">
        <f t="shared" si="2"/>
        <v/>
      </c>
    </row>
    <row r="26" spans="1:51" ht="14.25" customHeight="1" thickBot="1" x14ac:dyDescent="0.3">
      <c r="A26" s="24" t="str">
        <f>IF(ISBLANK(B26),"",COUNTA($B$12:B26))</f>
        <v/>
      </c>
      <c r="B26" s="33"/>
      <c r="C26" s="30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25">
        <f t="shared" si="0"/>
        <v>0</v>
      </c>
      <c r="AJ26" s="25">
        <f t="shared" si="1"/>
        <v>0</v>
      </c>
      <c r="AK26" s="95">
        <f>IFERROR(INDEX('ЗП АУП'!T$5:AE$14,MATCH(C26,'ЗП АУП'!S$5:S$14,),MONTH(C$1)),)</f>
        <v>0</v>
      </c>
      <c r="AL26" s="98" t="str">
        <f t="shared" si="2"/>
        <v/>
      </c>
    </row>
    <row r="27" spans="1:51" s="28" customFormat="1" ht="15.75" thickBot="1" x14ac:dyDescent="0.3">
      <c r="A27" s="32">
        <f>IF(A12=0,,SUMPRODUCT(--(A12:A26&lt;"")))</f>
        <v>11</v>
      </c>
      <c r="B27" s="26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99">
        <f>IF(A27=0,"",SUM(AI12:AI26))</f>
        <v>220</v>
      </c>
      <c r="AJ27" s="99">
        <f>IF(A27=0,"",SUM(AJ12:AJ26))</f>
        <v>1760</v>
      </c>
      <c r="AK27" s="96"/>
      <c r="AL27" s="100">
        <f>IF(AL12=0,"",SUM(AL12:AL26))</f>
        <v>1263643</v>
      </c>
    </row>
    <row r="28" spans="1:51" x14ac:dyDescent="0.25"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</row>
    <row r="29" spans="1:51" x14ac:dyDescent="0.25"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</row>
    <row r="30" spans="1:51" x14ac:dyDescent="0.25"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</row>
    <row r="31" spans="1:51" x14ac:dyDescent="0.25">
      <c r="C31" s="36" t="s">
        <v>19</v>
      </c>
      <c r="D31" s="19"/>
      <c r="E31" s="19"/>
      <c r="F31" s="19" t="s">
        <v>20</v>
      </c>
      <c r="G31" s="35"/>
      <c r="H31" s="35"/>
      <c r="I31" s="35"/>
      <c r="J31" s="35"/>
      <c r="K31" s="35"/>
      <c r="L31" s="35"/>
      <c r="M31" s="35"/>
      <c r="N31" s="35"/>
      <c r="O31" s="35"/>
      <c r="P31" s="19"/>
      <c r="Q31" s="19"/>
      <c r="R31" s="35" t="s">
        <v>21</v>
      </c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35" t="s">
        <v>22</v>
      </c>
      <c r="AE31" s="19"/>
      <c r="AF31" s="19"/>
      <c r="AG31" s="19"/>
      <c r="AH31" s="19"/>
    </row>
    <row r="32" spans="1:51" x14ac:dyDescent="0.25"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</row>
    <row r="33" spans="4:51" x14ac:dyDescent="0.25"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</row>
    <row r="34" spans="4:51" x14ac:dyDescent="0.25"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Y34" s="7">
        <f>SUBTOTAL(103,Таблица2[Столбец1])</f>
        <v>10</v>
      </c>
    </row>
    <row r="35" spans="4:51" x14ac:dyDescent="0.25"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</row>
    <row r="36" spans="4:51" x14ac:dyDescent="0.25"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</row>
    <row r="37" spans="4:51" x14ac:dyDescent="0.25"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</row>
    <row r="38" spans="4:51" x14ac:dyDescent="0.25"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</row>
    <row r="39" spans="4:51" x14ac:dyDescent="0.25"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</row>
    <row r="40" spans="4:51" x14ac:dyDescent="0.25"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</row>
    <row r="41" spans="4:51" x14ac:dyDescent="0.25"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</row>
    <row r="42" spans="4:51" x14ac:dyDescent="0.25"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</row>
    <row r="43" spans="4:51" x14ac:dyDescent="0.25"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</row>
    <row r="44" spans="4:51" x14ac:dyDescent="0.25"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</row>
    <row r="45" spans="4:51" x14ac:dyDescent="0.25"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</row>
    <row r="46" spans="4:51" x14ac:dyDescent="0.25"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</row>
    <row r="47" spans="4:51" x14ac:dyDescent="0.25"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</row>
    <row r="48" spans="4:51" x14ac:dyDescent="0.25"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</row>
    <row r="49" spans="4:34" x14ac:dyDescent="0.25"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</row>
  </sheetData>
  <sheetProtection formatCells="0" formatColumns="0" formatRows="0" insertColumns="0" insertRows="0" insertHyperlinks="0" deleteColumns="0" deleteRows="0" sort="0" autoFilter="0" pivotTables="0"/>
  <mergeCells count="13">
    <mergeCell ref="A1:B1"/>
    <mergeCell ref="A2:B2"/>
    <mergeCell ref="A3:B3"/>
    <mergeCell ref="A4:B4"/>
    <mergeCell ref="A5:B5"/>
    <mergeCell ref="AI9:AI10"/>
    <mergeCell ref="AJ9:AJ10"/>
    <mergeCell ref="AL9:AL10"/>
    <mergeCell ref="A7:AL7"/>
    <mergeCell ref="C9:C11"/>
    <mergeCell ref="A9:A11"/>
    <mergeCell ref="B9:B11"/>
    <mergeCell ref="AK9:AK10"/>
  </mergeCells>
  <conditionalFormatting sqref="AF9:AH10">
    <cfRule type="cellIs" dxfId="12" priority="10" operator="lessThanOrEqual">
      <formula>1</formula>
    </cfRule>
  </conditionalFormatting>
  <conditionalFormatting sqref="AF9">
    <cfRule type="expression" dxfId="11" priority="9">
      <formula>DAY(EOMONTH(C1,0))=28</formula>
    </cfRule>
  </conditionalFormatting>
  <conditionalFormatting sqref="AF10">
    <cfRule type="expression" dxfId="10" priority="8">
      <formula>DAY(EOMONTH(C1,0))=28</formula>
    </cfRule>
  </conditionalFormatting>
  <conditionalFormatting sqref="D9:AH9">
    <cfRule type="expression" dxfId="9" priority="6">
      <formula>WEEKDAY(D9,2)=7</formula>
    </cfRule>
    <cfRule type="expression" dxfId="8" priority="7">
      <formula>WEEKDAY(D10,2)=6</formula>
    </cfRule>
  </conditionalFormatting>
  <conditionalFormatting sqref="D10:AH10">
    <cfRule type="expression" dxfId="7" priority="4">
      <formula>WEEKDAY(D10,2)=7</formula>
    </cfRule>
    <cfRule type="expression" dxfId="6" priority="5">
      <formula>WEEKDAY(D10,2)=6</formula>
    </cfRule>
  </conditionalFormatting>
  <conditionalFormatting sqref="D10:AH10">
    <cfRule type="expression" dxfId="5" priority="1">
      <formula>D$10="Пр"</formula>
    </cfRule>
    <cfRule type="expression" dxfId="4" priority="2">
      <formula>WEEKDAY(D$9,2)&gt;5</formula>
    </cfRule>
  </conditionalFormatting>
  <dataValidations count="1">
    <dataValidation type="list" allowBlank="1" showInputMessage="1" showErrorMessage="1" sqref="C12:C26">
      <formula1>должность</formula1>
    </dataValidation>
  </dataValidations>
  <pageMargins left="3.937007874015748E-2" right="3.937007874015748E-2" top="0.74803149606299213" bottom="0.74803149606299213" header="0.31496062992125984" footer="0.31496062992125984"/>
  <pageSetup paperSize="9" orientation="landscape" horizontalDpi="360" verticalDpi="360" r:id="rId1"/>
  <ignoredErrors>
    <ignoredError sqref="AL12" unlockedFormula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E34"/>
  <sheetViews>
    <sheetView showGridLines="0" zoomScaleNormal="100" workbookViewId="0">
      <selection activeCell="T4" sqref="T4"/>
    </sheetView>
  </sheetViews>
  <sheetFormatPr defaultRowHeight="12" x14ac:dyDescent="0.2"/>
  <cols>
    <col min="1" max="1" width="3.42578125" style="37" customWidth="1"/>
    <col min="2" max="2" width="15.85546875" style="37" customWidth="1"/>
    <col min="3" max="3" width="10.5703125" style="45" customWidth="1"/>
    <col min="4" max="16" width="8.5703125" style="37" customWidth="1"/>
    <col min="17" max="17" width="1.7109375" style="37" customWidth="1"/>
    <col min="18" max="18" width="3.5703125" style="37" customWidth="1"/>
    <col min="19" max="19" width="15.85546875" style="37" customWidth="1"/>
    <col min="20" max="31" width="8.28515625" style="37" customWidth="1"/>
    <col min="32" max="16384" width="9.140625" style="37"/>
  </cols>
  <sheetData>
    <row r="2" spans="1:31" ht="18" x14ac:dyDescent="0.25">
      <c r="A2" s="117" t="s">
        <v>36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31" x14ac:dyDescent="0.2">
      <c r="B3" s="37">
        <v>2019</v>
      </c>
      <c r="S3" s="37" t="s">
        <v>82</v>
      </c>
    </row>
    <row r="4" spans="1:31" s="39" customFormat="1" ht="36" x14ac:dyDescent="0.25">
      <c r="A4" s="38" t="s">
        <v>1</v>
      </c>
      <c r="B4" s="38" t="s">
        <v>37</v>
      </c>
      <c r="C4" s="38" t="s">
        <v>38</v>
      </c>
      <c r="D4" s="38" t="s">
        <v>39</v>
      </c>
      <c r="E4" s="38" t="s">
        <v>40</v>
      </c>
      <c r="F4" s="38" t="s">
        <v>41</v>
      </c>
      <c r="G4" s="38" t="s">
        <v>42</v>
      </c>
      <c r="H4" s="38" t="s">
        <v>43</v>
      </c>
      <c r="I4" s="38" t="s">
        <v>44</v>
      </c>
      <c r="J4" s="38" t="s">
        <v>45</v>
      </c>
      <c r="K4" s="38" t="s">
        <v>46</v>
      </c>
      <c r="L4" s="38" t="s">
        <v>47</v>
      </c>
      <c r="M4" s="38" t="s">
        <v>48</v>
      </c>
      <c r="N4" s="38" t="s">
        <v>49</v>
      </c>
      <c r="O4" s="38" t="s">
        <v>50</v>
      </c>
      <c r="P4" s="38" t="s">
        <v>51</v>
      </c>
      <c r="R4" s="38" t="s">
        <v>1</v>
      </c>
      <c r="S4" s="38" t="s">
        <v>37</v>
      </c>
      <c r="T4" s="38" t="s">
        <v>40</v>
      </c>
      <c r="U4" s="38" t="s">
        <v>41</v>
      </c>
      <c r="V4" s="38" t="s">
        <v>42</v>
      </c>
      <c r="W4" s="38" t="s">
        <v>43</v>
      </c>
      <c r="X4" s="38" t="s">
        <v>44</v>
      </c>
      <c r="Y4" s="38" t="s">
        <v>45</v>
      </c>
      <c r="Z4" s="38" t="s">
        <v>46</v>
      </c>
      <c r="AA4" s="38" t="s">
        <v>47</v>
      </c>
      <c r="AB4" s="38" t="s">
        <v>48</v>
      </c>
      <c r="AC4" s="38" t="s">
        <v>49</v>
      </c>
      <c r="AD4" s="38" t="s">
        <v>50</v>
      </c>
      <c r="AE4" s="38" t="s">
        <v>51</v>
      </c>
    </row>
    <row r="5" spans="1:31" x14ac:dyDescent="0.2">
      <c r="A5" s="40">
        <f>IF(ISBLANK(B5),"",COUNTA($B$5:B5))</f>
        <v>1</v>
      </c>
      <c r="B5" s="41" t="s">
        <v>52</v>
      </c>
      <c r="C5" s="42">
        <v>1</v>
      </c>
      <c r="D5" s="43">
        <v>241667</v>
      </c>
      <c r="E5" s="44">
        <f t="shared" ref="E5:P5" si="0">$C$5*$D$5</f>
        <v>241667</v>
      </c>
      <c r="F5" s="44">
        <f t="shared" si="0"/>
        <v>241667</v>
      </c>
      <c r="G5" s="44">
        <f t="shared" si="0"/>
        <v>241667</v>
      </c>
      <c r="H5" s="44">
        <f t="shared" si="0"/>
        <v>241667</v>
      </c>
      <c r="I5" s="44">
        <f t="shared" si="0"/>
        <v>241667</v>
      </c>
      <c r="J5" s="44">
        <f t="shared" si="0"/>
        <v>241667</v>
      </c>
      <c r="K5" s="44">
        <f t="shared" si="0"/>
        <v>241667</v>
      </c>
      <c r="L5" s="44">
        <f t="shared" si="0"/>
        <v>241667</v>
      </c>
      <c r="M5" s="44">
        <f t="shared" si="0"/>
        <v>241667</v>
      </c>
      <c r="N5" s="44">
        <f t="shared" si="0"/>
        <v>241667</v>
      </c>
      <c r="O5" s="44">
        <f t="shared" si="0"/>
        <v>241667</v>
      </c>
      <c r="P5" s="44">
        <f t="shared" si="0"/>
        <v>241667</v>
      </c>
      <c r="R5" s="40">
        <f>IF(ISBLANK(S5),"",COUNTA($S$5:S5))</f>
        <v>1</v>
      </c>
      <c r="S5" s="41" t="s">
        <v>52</v>
      </c>
      <c r="T5" s="44">
        <f>E5/'БалансРабВрем  '!$F$11</f>
        <v>1510.41875</v>
      </c>
      <c r="U5" s="44">
        <f>F5/'БалансРабВрем  '!$F$12</f>
        <v>1510.41875</v>
      </c>
      <c r="V5" s="44">
        <f>G5/'БалансРабВрем  '!$F$13</f>
        <v>1776.9632352941176</v>
      </c>
      <c r="W5" s="44">
        <f>H5/'БалансРабВрем  '!$F$15</f>
        <v>1373.1079545454545</v>
      </c>
      <c r="X5" s="44">
        <f>I5/'БалансРабВрем  '!$F$16</f>
        <v>1510.41875</v>
      </c>
      <c r="Y5" s="44">
        <f>J5/'БалансРабВрем  '!$F$17</f>
        <v>1510.41875</v>
      </c>
      <c r="Z5" s="44">
        <f>K5/'БалансРабВрем  '!$F$20</f>
        <v>1373.1079545454545</v>
      </c>
      <c r="AA5" s="44">
        <f>L5/'БалансРабВрем  '!$F$21</f>
        <v>1438.4940476190477</v>
      </c>
      <c r="AB5" s="44">
        <f>M5/'БалансРабВрем  '!$F$22</f>
        <v>1438.4940476190477</v>
      </c>
      <c r="AC5" s="44">
        <f>N5/'БалансРабВрем  '!$F$25</f>
        <v>1313.4076086956522</v>
      </c>
      <c r="AD5" s="44">
        <f>O5/'БалансРабВрем  '!$F$26</f>
        <v>1438.4940476190477</v>
      </c>
      <c r="AE5" s="44">
        <f>P5/'БалансРабВрем  '!$F$27</f>
        <v>1589.9144736842106</v>
      </c>
    </row>
    <row r="6" spans="1:31" ht="15" customHeight="1" x14ac:dyDescent="0.2">
      <c r="A6" s="40">
        <f>IF(ISBLANK(B6),"",COUNTA($B$5:B6))</f>
        <v>2</v>
      </c>
      <c r="B6" s="41" t="s">
        <v>84</v>
      </c>
      <c r="C6" s="42">
        <v>1</v>
      </c>
      <c r="D6" s="43">
        <v>216976</v>
      </c>
      <c r="E6" s="44">
        <f t="shared" ref="E6:P6" si="1">$C$6*$D$6</f>
        <v>216976</v>
      </c>
      <c r="F6" s="44">
        <f t="shared" si="1"/>
        <v>216976</v>
      </c>
      <c r="G6" s="44">
        <f t="shared" si="1"/>
        <v>216976</v>
      </c>
      <c r="H6" s="44">
        <f t="shared" si="1"/>
        <v>216976</v>
      </c>
      <c r="I6" s="44">
        <f t="shared" si="1"/>
        <v>216976</v>
      </c>
      <c r="J6" s="44">
        <f t="shared" si="1"/>
        <v>216976</v>
      </c>
      <c r="K6" s="44">
        <f t="shared" si="1"/>
        <v>216976</v>
      </c>
      <c r="L6" s="44">
        <f t="shared" si="1"/>
        <v>216976</v>
      </c>
      <c r="M6" s="44">
        <f t="shared" si="1"/>
        <v>216976</v>
      </c>
      <c r="N6" s="44">
        <f t="shared" si="1"/>
        <v>216976</v>
      </c>
      <c r="O6" s="44">
        <f t="shared" si="1"/>
        <v>216976</v>
      </c>
      <c r="P6" s="44">
        <f t="shared" si="1"/>
        <v>216976</v>
      </c>
      <c r="R6" s="40">
        <f>IF(ISBLANK(S6),"",COUNTA($S$5:S6))</f>
        <v>2</v>
      </c>
      <c r="S6" s="41" t="s">
        <v>84</v>
      </c>
      <c r="T6" s="44">
        <f>E6/'БалансРабВрем  '!$F$11</f>
        <v>1356.1</v>
      </c>
      <c r="U6" s="44">
        <f>F6/'БалансРабВрем  '!$F$12</f>
        <v>1356.1</v>
      </c>
      <c r="V6" s="44">
        <f>G6/'БалансРабВрем  '!$F$13</f>
        <v>1595.4117647058824</v>
      </c>
      <c r="W6" s="44">
        <f>H6/'БалансРабВрем  '!$F$15</f>
        <v>1232.8181818181818</v>
      </c>
      <c r="X6" s="44">
        <f>I6/'БалансРабВрем  '!$F$16</f>
        <v>1356.1</v>
      </c>
      <c r="Y6" s="44">
        <f>J6/'БалансРабВрем  '!$F$17</f>
        <v>1356.1</v>
      </c>
      <c r="Z6" s="44">
        <f>K6/'БалансРабВрем  '!$F$20</f>
        <v>1232.8181818181818</v>
      </c>
      <c r="AA6" s="44">
        <f>L6/'БалансРабВрем  '!$F$21</f>
        <v>1291.5238095238096</v>
      </c>
      <c r="AB6" s="44">
        <f>M6/'БалансРабВрем  '!$F$22</f>
        <v>1291.5238095238096</v>
      </c>
      <c r="AC6" s="44">
        <f>N6/'БалансРабВрем  '!$F$25</f>
        <v>1179.2173913043478</v>
      </c>
      <c r="AD6" s="44">
        <f>O6/'БалансРабВрем  '!$F$26</f>
        <v>1291.5238095238096</v>
      </c>
      <c r="AE6" s="44">
        <f>P6/'БалансРабВрем  '!$F$27</f>
        <v>1427.4736842105262</v>
      </c>
    </row>
    <row r="7" spans="1:31" x14ac:dyDescent="0.2">
      <c r="A7" s="40">
        <f>IF(ISBLANK(B7),"",COUNTA($B$5:B7))</f>
        <v>3</v>
      </c>
      <c r="B7" s="41" t="s">
        <v>53</v>
      </c>
      <c r="C7" s="42">
        <v>1</v>
      </c>
      <c r="D7" s="43">
        <v>150000</v>
      </c>
      <c r="E7" s="44">
        <f t="shared" ref="E7:P7" si="2">$C$7*$D$7</f>
        <v>150000</v>
      </c>
      <c r="F7" s="44">
        <f t="shared" si="2"/>
        <v>150000</v>
      </c>
      <c r="G7" s="44">
        <f t="shared" si="2"/>
        <v>150000</v>
      </c>
      <c r="H7" s="44">
        <f t="shared" si="2"/>
        <v>150000</v>
      </c>
      <c r="I7" s="44">
        <f t="shared" si="2"/>
        <v>150000</v>
      </c>
      <c r="J7" s="44">
        <f t="shared" si="2"/>
        <v>150000</v>
      </c>
      <c r="K7" s="44">
        <f t="shared" si="2"/>
        <v>150000</v>
      </c>
      <c r="L7" s="44">
        <f t="shared" si="2"/>
        <v>150000</v>
      </c>
      <c r="M7" s="44">
        <f t="shared" si="2"/>
        <v>150000</v>
      </c>
      <c r="N7" s="44">
        <f t="shared" si="2"/>
        <v>150000</v>
      </c>
      <c r="O7" s="44">
        <f t="shared" si="2"/>
        <v>150000</v>
      </c>
      <c r="P7" s="44">
        <f t="shared" si="2"/>
        <v>150000</v>
      </c>
      <c r="R7" s="40">
        <f>IF(ISBLANK(S7),"",COUNTA($S$5:S7))</f>
        <v>3</v>
      </c>
      <c r="S7" s="41" t="s">
        <v>53</v>
      </c>
      <c r="T7" s="44">
        <f>E7/'БалансРабВрем  '!$F$11</f>
        <v>937.5</v>
      </c>
      <c r="U7" s="44">
        <f>F7/'БалансРабВрем  '!$F$12</f>
        <v>937.5</v>
      </c>
      <c r="V7" s="44">
        <f>G7/'БалансРабВрем  '!$F$13</f>
        <v>1102.9411764705883</v>
      </c>
      <c r="W7" s="44">
        <f>H7/'БалансРабВрем  '!$F$15</f>
        <v>852.27272727272725</v>
      </c>
      <c r="X7" s="44">
        <f>I7/'БалансРабВрем  '!$F$16</f>
        <v>937.5</v>
      </c>
      <c r="Y7" s="44">
        <f>J7/'БалансРабВрем  '!$F$17</f>
        <v>937.5</v>
      </c>
      <c r="Z7" s="44">
        <f>K7/'БалансРабВрем  '!$F$20</f>
        <v>852.27272727272725</v>
      </c>
      <c r="AA7" s="44">
        <f>L7/'БалансРабВрем  '!$F$21</f>
        <v>892.85714285714289</v>
      </c>
      <c r="AB7" s="44">
        <f>M7/'БалансРабВрем  '!$F$22</f>
        <v>892.85714285714289</v>
      </c>
      <c r="AC7" s="44">
        <f>N7/'БалансРабВрем  '!$F$25</f>
        <v>815.21739130434787</v>
      </c>
      <c r="AD7" s="44">
        <f>O7/'БалансРабВрем  '!$F$26</f>
        <v>892.85714285714289</v>
      </c>
      <c r="AE7" s="44">
        <f>P7/'БалансРабВрем  '!$F$27</f>
        <v>986.84210526315792</v>
      </c>
    </row>
    <row r="8" spans="1:31" x14ac:dyDescent="0.2">
      <c r="A8" s="40">
        <f>IF(ISBLANK(B8),"",COUNTA($B$5:B8))</f>
        <v>4</v>
      </c>
      <c r="B8" s="41" t="s">
        <v>54</v>
      </c>
      <c r="C8" s="42">
        <v>1</v>
      </c>
      <c r="D8" s="43">
        <v>50000</v>
      </c>
      <c r="E8" s="44">
        <v>20000</v>
      </c>
      <c r="F8" s="44">
        <v>20000</v>
      </c>
      <c r="G8" s="44">
        <f t="shared" ref="G8:N8" si="3">$C$8*$D$8</f>
        <v>50000</v>
      </c>
      <c r="H8" s="44">
        <f t="shared" si="3"/>
        <v>50000</v>
      </c>
      <c r="I8" s="44">
        <f t="shared" si="3"/>
        <v>50000</v>
      </c>
      <c r="J8" s="44">
        <f t="shared" si="3"/>
        <v>50000</v>
      </c>
      <c r="K8" s="44">
        <f t="shared" si="3"/>
        <v>50000</v>
      </c>
      <c r="L8" s="44">
        <f t="shared" si="3"/>
        <v>50000</v>
      </c>
      <c r="M8" s="44">
        <f t="shared" si="3"/>
        <v>50000</v>
      </c>
      <c r="N8" s="44">
        <f t="shared" si="3"/>
        <v>50000</v>
      </c>
      <c r="O8" s="44">
        <v>50000</v>
      </c>
      <c r="P8" s="44">
        <f>$C$8*$D$8</f>
        <v>50000</v>
      </c>
      <c r="R8" s="40">
        <f>IF(ISBLANK(S8),"",COUNTA($S$5:S8))</f>
        <v>4</v>
      </c>
      <c r="S8" s="41" t="s">
        <v>54</v>
      </c>
      <c r="T8" s="44">
        <f>E8/'БалансРабВрем  '!$F$11</f>
        <v>125</v>
      </c>
      <c r="U8" s="44">
        <f>F8/'БалансРабВрем  '!$F$12</f>
        <v>125</v>
      </c>
      <c r="V8" s="44">
        <f>G8/'БалансРабВрем  '!$F$13</f>
        <v>367.64705882352939</v>
      </c>
      <c r="W8" s="44">
        <f>H8/'БалансРабВрем  '!$F$15</f>
        <v>284.09090909090907</v>
      </c>
      <c r="X8" s="44">
        <f>I8/'БалансРабВрем  '!$F$16</f>
        <v>312.5</v>
      </c>
      <c r="Y8" s="44">
        <f>J8/'БалансРабВрем  '!$F$17</f>
        <v>312.5</v>
      </c>
      <c r="Z8" s="44">
        <f>K8/'БалансРабВрем  '!$F$20</f>
        <v>284.09090909090907</v>
      </c>
      <c r="AA8" s="44">
        <f>L8/'БалансРабВрем  '!$F$21</f>
        <v>297.61904761904759</v>
      </c>
      <c r="AB8" s="44">
        <f>M8/'БалансРабВрем  '!$F$22</f>
        <v>297.61904761904759</v>
      </c>
      <c r="AC8" s="44">
        <f>N8/'БалансРабВрем  '!$F$25</f>
        <v>271.73913043478262</v>
      </c>
      <c r="AD8" s="44">
        <f>O8/'БалансРабВрем  '!$F$26</f>
        <v>297.61904761904759</v>
      </c>
      <c r="AE8" s="44">
        <f>P8/'БалансРабВрем  '!$F$27</f>
        <v>328.94736842105266</v>
      </c>
    </row>
    <row r="9" spans="1:31" x14ac:dyDescent="0.2">
      <c r="A9" s="40">
        <f>IF(ISBLANK(B9),"",COUNTA($B$5:B9))</f>
        <v>5</v>
      </c>
      <c r="B9" s="41" t="s">
        <v>85</v>
      </c>
      <c r="C9" s="42">
        <v>1</v>
      </c>
      <c r="D9" s="43">
        <v>150000</v>
      </c>
      <c r="E9" s="44">
        <f>120000+42500</f>
        <v>162500</v>
      </c>
      <c r="F9" s="44">
        <f>$E$9</f>
        <v>162500</v>
      </c>
      <c r="G9" s="44">
        <f t="shared" ref="G9:P9" si="4">$E$9</f>
        <v>162500</v>
      </c>
      <c r="H9" s="44">
        <f t="shared" si="4"/>
        <v>162500</v>
      </c>
      <c r="I9" s="44">
        <f t="shared" si="4"/>
        <v>162500</v>
      </c>
      <c r="J9" s="44">
        <f t="shared" si="4"/>
        <v>162500</v>
      </c>
      <c r="K9" s="44">
        <f t="shared" si="4"/>
        <v>162500</v>
      </c>
      <c r="L9" s="44">
        <f t="shared" si="4"/>
        <v>162500</v>
      </c>
      <c r="M9" s="44">
        <f t="shared" si="4"/>
        <v>162500</v>
      </c>
      <c r="N9" s="44">
        <f t="shared" si="4"/>
        <v>162500</v>
      </c>
      <c r="O9" s="44">
        <f t="shared" si="4"/>
        <v>162500</v>
      </c>
      <c r="P9" s="44">
        <f t="shared" si="4"/>
        <v>162500</v>
      </c>
      <c r="R9" s="40">
        <f>IF(ISBLANK(S9),"",COUNTA($S$5:S9))</f>
        <v>5</v>
      </c>
      <c r="S9" s="41" t="s">
        <v>14</v>
      </c>
      <c r="T9" s="44">
        <f>E9/'БалансРабВрем  '!$F$11</f>
        <v>1015.625</v>
      </c>
      <c r="U9" s="44">
        <f>F9/'БалансРабВрем  '!$F$12</f>
        <v>1015.625</v>
      </c>
      <c r="V9" s="44">
        <f>G9/'БалансРабВрем  '!$F$13</f>
        <v>1194.8529411764705</v>
      </c>
      <c r="W9" s="44">
        <f>H9/'БалансРабВрем  '!$F$15</f>
        <v>923.2954545454545</v>
      </c>
      <c r="X9" s="44">
        <f>I9/'БалансРабВрем  '!$F$16</f>
        <v>1015.625</v>
      </c>
      <c r="Y9" s="44">
        <f>J9/'БалансРабВрем  '!$F$17</f>
        <v>1015.625</v>
      </c>
      <c r="Z9" s="44">
        <f>K9/'БалансРабВрем  '!$F$20</f>
        <v>923.2954545454545</v>
      </c>
      <c r="AA9" s="44">
        <f>L9/'БалансРабВрем  '!$F$21</f>
        <v>967.26190476190482</v>
      </c>
      <c r="AB9" s="44">
        <f>M9/'БалансРабВрем  '!$F$22</f>
        <v>967.26190476190482</v>
      </c>
      <c r="AC9" s="44">
        <f>N9/'БалансРабВрем  '!$F$25</f>
        <v>883.1521739130435</v>
      </c>
      <c r="AD9" s="44">
        <f>O9/'БалансРабВрем  '!$F$26</f>
        <v>967.26190476190482</v>
      </c>
      <c r="AE9" s="44">
        <f>P9/'БалансРабВрем  '!$F$27</f>
        <v>1069.078947368421</v>
      </c>
    </row>
    <row r="10" spans="1:31" x14ac:dyDescent="0.2">
      <c r="A10" s="40">
        <f>IF(ISBLANK(B10),"",COUNTA($B$5:B10))</f>
        <v>6</v>
      </c>
      <c r="B10" s="41" t="s">
        <v>55</v>
      </c>
      <c r="C10" s="42">
        <v>1</v>
      </c>
      <c r="D10" s="43">
        <v>135000</v>
      </c>
      <c r="E10" s="44">
        <f t="shared" ref="E10:P10" si="5">$C$10*$D$10</f>
        <v>135000</v>
      </c>
      <c r="F10" s="44">
        <f t="shared" si="5"/>
        <v>135000</v>
      </c>
      <c r="G10" s="44">
        <f t="shared" si="5"/>
        <v>135000</v>
      </c>
      <c r="H10" s="44">
        <f t="shared" si="5"/>
        <v>135000</v>
      </c>
      <c r="I10" s="44">
        <f t="shared" si="5"/>
        <v>135000</v>
      </c>
      <c r="J10" s="44">
        <f t="shared" si="5"/>
        <v>135000</v>
      </c>
      <c r="K10" s="44">
        <f t="shared" si="5"/>
        <v>135000</v>
      </c>
      <c r="L10" s="44">
        <f t="shared" si="5"/>
        <v>135000</v>
      </c>
      <c r="M10" s="44">
        <f t="shared" si="5"/>
        <v>135000</v>
      </c>
      <c r="N10" s="44">
        <f t="shared" si="5"/>
        <v>135000</v>
      </c>
      <c r="O10" s="44">
        <f t="shared" si="5"/>
        <v>135000</v>
      </c>
      <c r="P10" s="44">
        <f t="shared" si="5"/>
        <v>135000</v>
      </c>
      <c r="R10" s="40">
        <f>IF(ISBLANK(S10),"",COUNTA($S$5:S10))</f>
        <v>6</v>
      </c>
      <c r="S10" s="41" t="s">
        <v>55</v>
      </c>
      <c r="T10" s="44">
        <f>E10/'БалансРабВрем  '!$F$11</f>
        <v>843.75</v>
      </c>
      <c r="U10" s="44">
        <f>F10/'БалансРабВрем  '!$F$12</f>
        <v>843.75</v>
      </c>
      <c r="V10" s="44">
        <f>G10/'БалансРабВрем  '!$F$13</f>
        <v>992.64705882352939</v>
      </c>
      <c r="W10" s="44">
        <f>H10/'БалансРабВрем  '!$F$15</f>
        <v>767.0454545454545</v>
      </c>
      <c r="X10" s="44">
        <f>I10/'БалансРабВрем  '!$F$16</f>
        <v>843.75</v>
      </c>
      <c r="Y10" s="44">
        <f>J10/'БалансРабВрем  '!$F$17</f>
        <v>843.75</v>
      </c>
      <c r="Z10" s="44">
        <f>K10/'БалансРабВрем  '!$F$20</f>
        <v>767.0454545454545</v>
      </c>
      <c r="AA10" s="44">
        <f>L10/'БалансРабВрем  '!$F$21</f>
        <v>803.57142857142856</v>
      </c>
      <c r="AB10" s="44">
        <f>M10/'БалансРабВрем  '!$F$22</f>
        <v>803.57142857142856</v>
      </c>
      <c r="AC10" s="44">
        <f>N10/'БалансРабВрем  '!$F$25</f>
        <v>733.695652173913</v>
      </c>
      <c r="AD10" s="44">
        <f>O10/'БалансРабВрем  '!$F$26</f>
        <v>803.57142857142856</v>
      </c>
      <c r="AE10" s="44">
        <f>P10/'БалансРабВрем  '!$F$27</f>
        <v>888.15789473684208</v>
      </c>
    </row>
    <row r="11" spans="1:31" x14ac:dyDescent="0.2">
      <c r="A11" s="40">
        <f>IF(ISBLANK(B11),"",COUNTA($B$5:B11))</f>
        <v>7</v>
      </c>
      <c r="B11" s="41" t="s">
        <v>56</v>
      </c>
      <c r="C11" s="42">
        <v>1</v>
      </c>
      <c r="D11" s="43">
        <v>90000</v>
      </c>
      <c r="E11" s="44">
        <f t="shared" ref="E11:P11" si="6">$C$11*$D$11</f>
        <v>90000</v>
      </c>
      <c r="F11" s="44">
        <f t="shared" si="6"/>
        <v>90000</v>
      </c>
      <c r="G11" s="44">
        <f t="shared" si="6"/>
        <v>90000</v>
      </c>
      <c r="H11" s="44">
        <f t="shared" si="6"/>
        <v>90000</v>
      </c>
      <c r="I11" s="44">
        <f t="shared" si="6"/>
        <v>90000</v>
      </c>
      <c r="J11" s="44">
        <f t="shared" si="6"/>
        <v>90000</v>
      </c>
      <c r="K11" s="44">
        <f t="shared" si="6"/>
        <v>90000</v>
      </c>
      <c r="L11" s="44">
        <f t="shared" si="6"/>
        <v>90000</v>
      </c>
      <c r="M11" s="44">
        <f t="shared" si="6"/>
        <v>90000</v>
      </c>
      <c r="N11" s="44">
        <f t="shared" si="6"/>
        <v>90000</v>
      </c>
      <c r="O11" s="44">
        <f t="shared" si="6"/>
        <v>90000</v>
      </c>
      <c r="P11" s="44">
        <f t="shared" si="6"/>
        <v>90000</v>
      </c>
      <c r="R11" s="40">
        <f>IF(ISBLANK(S11),"",COUNTA($S$5:S11))</f>
        <v>7</v>
      </c>
      <c r="S11" s="41" t="s">
        <v>56</v>
      </c>
      <c r="T11" s="44">
        <f>E11/'БалансРабВрем  '!$F$11</f>
        <v>562.5</v>
      </c>
      <c r="U11" s="44">
        <f>F11/'БалансРабВрем  '!$F$12</f>
        <v>562.5</v>
      </c>
      <c r="V11" s="44">
        <f>G11/'БалансРабВрем  '!$F$13</f>
        <v>661.76470588235293</v>
      </c>
      <c r="W11" s="44">
        <f>H11/'БалансРабВрем  '!$F$15</f>
        <v>511.36363636363637</v>
      </c>
      <c r="X11" s="44">
        <f>I11/'БалансРабВрем  '!$F$16</f>
        <v>562.5</v>
      </c>
      <c r="Y11" s="44">
        <f>J11/'БалансРабВрем  '!$F$17</f>
        <v>562.5</v>
      </c>
      <c r="Z11" s="44">
        <f>K11/'БалансРабВрем  '!$F$20</f>
        <v>511.36363636363637</v>
      </c>
      <c r="AA11" s="44">
        <f>L11/'БалансРабВрем  '!$F$21</f>
        <v>535.71428571428567</v>
      </c>
      <c r="AB11" s="44">
        <f>M11/'БалансРабВрем  '!$F$22</f>
        <v>535.71428571428567</v>
      </c>
      <c r="AC11" s="44">
        <f>N11/'БалансРабВрем  '!$F$25</f>
        <v>489.13043478260869</v>
      </c>
      <c r="AD11" s="44">
        <f>O11/'БалансРабВрем  '!$F$26</f>
        <v>535.71428571428567</v>
      </c>
      <c r="AE11" s="44">
        <f>P11/'БалансРабВрем  '!$F$27</f>
        <v>592.10526315789468</v>
      </c>
    </row>
    <row r="12" spans="1:31" x14ac:dyDescent="0.2">
      <c r="A12" s="40">
        <f>IF(ISBLANK(B12),"",COUNTA($B$5:B12))</f>
        <v>8</v>
      </c>
      <c r="B12" s="41" t="s">
        <v>17</v>
      </c>
      <c r="C12" s="42">
        <v>1</v>
      </c>
      <c r="D12" s="43">
        <v>90000</v>
      </c>
      <c r="E12" s="44">
        <f>$C$12*$D$12/2</f>
        <v>45000</v>
      </c>
      <c r="F12" s="44">
        <f>$C$12*$D$12/2</f>
        <v>45000</v>
      </c>
      <c r="G12" s="44">
        <f t="shared" ref="G12:P12" si="7">$C$12*$D$12</f>
        <v>90000</v>
      </c>
      <c r="H12" s="44">
        <f t="shared" si="7"/>
        <v>90000</v>
      </c>
      <c r="I12" s="44">
        <f t="shared" si="7"/>
        <v>90000</v>
      </c>
      <c r="J12" s="44">
        <f t="shared" si="7"/>
        <v>90000</v>
      </c>
      <c r="K12" s="44">
        <f t="shared" si="7"/>
        <v>90000</v>
      </c>
      <c r="L12" s="44">
        <f t="shared" si="7"/>
        <v>90000</v>
      </c>
      <c r="M12" s="44">
        <f t="shared" si="7"/>
        <v>90000</v>
      </c>
      <c r="N12" s="44">
        <f t="shared" si="7"/>
        <v>90000</v>
      </c>
      <c r="O12" s="44">
        <f t="shared" si="7"/>
        <v>90000</v>
      </c>
      <c r="P12" s="44">
        <f t="shared" si="7"/>
        <v>90000</v>
      </c>
      <c r="R12" s="40">
        <f>IF(ISBLANK(S12),"",COUNTA($S$5:S12))</f>
        <v>8</v>
      </c>
      <c r="S12" s="41" t="s">
        <v>17</v>
      </c>
      <c r="T12" s="44">
        <f>E12/'БалансРабВрем  '!$F$11</f>
        <v>281.25</v>
      </c>
      <c r="U12" s="44">
        <f>F12/'БалансРабВрем  '!$F$12</f>
        <v>281.25</v>
      </c>
      <c r="V12" s="44">
        <f>G12/'БалансРабВрем  '!$F$13</f>
        <v>661.76470588235293</v>
      </c>
      <c r="W12" s="44">
        <f>H12/'БалансРабВрем  '!$F$15</f>
        <v>511.36363636363637</v>
      </c>
      <c r="X12" s="44">
        <f>I12/'БалансРабВрем  '!$F$16</f>
        <v>562.5</v>
      </c>
      <c r="Y12" s="44">
        <f>J12/'БалансРабВрем  '!$F$17</f>
        <v>562.5</v>
      </c>
      <c r="Z12" s="44">
        <f>K12/'БалансРабВрем  '!$F$20</f>
        <v>511.36363636363637</v>
      </c>
      <c r="AA12" s="44">
        <f>L12/'БалансРабВрем  '!$F$21</f>
        <v>535.71428571428567</v>
      </c>
      <c r="AB12" s="44">
        <f>M12/'БалансРабВрем  '!$F$22</f>
        <v>535.71428571428567</v>
      </c>
      <c r="AC12" s="44">
        <f>N12/'БалансРабВрем  '!$F$25</f>
        <v>489.13043478260869</v>
      </c>
      <c r="AD12" s="44">
        <f>O12/'БалансРабВрем  '!$F$26</f>
        <v>535.71428571428567</v>
      </c>
      <c r="AE12" s="44">
        <f>P12/'БалансРабВрем  '!$F$27</f>
        <v>592.10526315789468</v>
      </c>
    </row>
    <row r="13" spans="1:31" x14ac:dyDescent="0.2">
      <c r="A13" s="40">
        <f>IF(ISBLANK(B13),"",COUNTA($B$5:B13))</f>
        <v>9</v>
      </c>
      <c r="B13" s="41" t="s">
        <v>12</v>
      </c>
      <c r="C13" s="42">
        <v>1</v>
      </c>
      <c r="D13" s="43">
        <v>42500</v>
      </c>
      <c r="E13" s="44">
        <v>42500</v>
      </c>
      <c r="F13" s="44">
        <v>42500</v>
      </c>
      <c r="G13" s="44">
        <f t="shared" ref="G13:P13" si="8">$C$13*$D$13</f>
        <v>42500</v>
      </c>
      <c r="H13" s="44">
        <f t="shared" si="8"/>
        <v>42500</v>
      </c>
      <c r="I13" s="44">
        <f t="shared" si="8"/>
        <v>42500</v>
      </c>
      <c r="J13" s="44">
        <f t="shared" si="8"/>
        <v>42500</v>
      </c>
      <c r="K13" s="44">
        <f t="shared" si="8"/>
        <v>42500</v>
      </c>
      <c r="L13" s="44">
        <f t="shared" si="8"/>
        <v>42500</v>
      </c>
      <c r="M13" s="44">
        <f t="shared" si="8"/>
        <v>42500</v>
      </c>
      <c r="N13" s="44">
        <f t="shared" si="8"/>
        <v>42500</v>
      </c>
      <c r="O13" s="44">
        <f t="shared" si="8"/>
        <v>42500</v>
      </c>
      <c r="P13" s="44">
        <f t="shared" si="8"/>
        <v>42500</v>
      </c>
      <c r="R13" s="40">
        <f>IF(ISBLANK(S13),"",COUNTA($S$5:S13))</f>
        <v>9</v>
      </c>
      <c r="S13" s="41" t="s">
        <v>12</v>
      </c>
      <c r="T13" s="44">
        <f>E13/'БалансРабВрем  '!$F$11</f>
        <v>265.625</v>
      </c>
      <c r="U13" s="44">
        <f>F13/'БалансРабВрем  '!$F$12</f>
        <v>265.625</v>
      </c>
      <c r="V13" s="44">
        <f>G13/'БалансРабВрем  '!$F$13</f>
        <v>312.5</v>
      </c>
      <c r="W13" s="44">
        <f>H13/'БалансРабВрем  '!$F$15</f>
        <v>241.47727272727272</v>
      </c>
      <c r="X13" s="44">
        <f>I13/'БалансРабВрем  '!$F$16</f>
        <v>265.625</v>
      </c>
      <c r="Y13" s="44">
        <f>J13/'БалансРабВрем  '!$F$17</f>
        <v>265.625</v>
      </c>
      <c r="Z13" s="44">
        <f>K13/'БалансРабВрем  '!$F$20</f>
        <v>241.47727272727272</v>
      </c>
      <c r="AA13" s="44">
        <f>L13/'БалансРабВрем  '!$F$21</f>
        <v>252.97619047619048</v>
      </c>
      <c r="AB13" s="44">
        <f>M13/'БалансРабВрем  '!$F$22</f>
        <v>252.97619047619048</v>
      </c>
      <c r="AC13" s="44">
        <f>N13/'БалансРабВрем  '!$F$25</f>
        <v>230.97826086956522</v>
      </c>
      <c r="AD13" s="44">
        <f>O13/'БалансРабВрем  '!$F$26</f>
        <v>252.97619047619048</v>
      </c>
      <c r="AE13" s="44">
        <f>P13/'БалансРабВрем  '!$F$27</f>
        <v>279.60526315789474</v>
      </c>
    </row>
    <row r="14" spans="1:31" x14ac:dyDescent="0.2">
      <c r="A14" s="40">
        <f>IF(ISBLANK(B14),"",COUNTA($B$5:B14))</f>
        <v>10</v>
      </c>
      <c r="B14" s="41" t="s">
        <v>57</v>
      </c>
      <c r="C14" s="42">
        <v>1</v>
      </c>
      <c r="D14" s="43">
        <v>70000</v>
      </c>
      <c r="E14" s="44">
        <f t="shared" ref="E14:P14" si="9">$C$14*$D$14</f>
        <v>70000</v>
      </c>
      <c r="F14" s="44">
        <f t="shared" si="9"/>
        <v>70000</v>
      </c>
      <c r="G14" s="44">
        <f t="shared" si="9"/>
        <v>70000</v>
      </c>
      <c r="H14" s="44">
        <f t="shared" si="9"/>
        <v>70000</v>
      </c>
      <c r="I14" s="44">
        <f t="shared" si="9"/>
        <v>70000</v>
      </c>
      <c r="J14" s="44">
        <f t="shared" si="9"/>
        <v>70000</v>
      </c>
      <c r="K14" s="44">
        <f t="shared" si="9"/>
        <v>70000</v>
      </c>
      <c r="L14" s="44">
        <f t="shared" si="9"/>
        <v>70000</v>
      </c>
      <c r="M14" s="44">
        <f t="shared" si="9"/>
        <v>70000</v>
      </c>
      <c r="N14" s="44">
        <f t="shared" si="9"/>
        <v>70000</v>
      </c>
      <c r="O14" s="44">
        <f t="shared" si="9"/>
        <v>70000</v>
      </c>
      <c r="P14" s="44">
        <f t="shared" si="9"/>
        <v>70000</v>
      </c>
      <c r="R14" s="40">
        <f>IF(ISBLANK(S14),"",COUNTA($S$5:S14))</f>
        <v>10</v>
      </c>
      <c r="S14" s="41" t="s">
        <v>57</v>
      </c>
      <c r="T14" s="44">
        <f>E14/'БалансРабВрем  '!$F$11</f>
        <v>437.5</v>
      </c>
      <c r="U14" s="44">
        <f>F14/'БалансРабВрем  '!$F$12</f>
        <v>437.5</v>
      </c>
      <c r="V14" s="44">
        <f>G14/'БалансРабВрем  '!$F$13</f>
        <v>514.70588235294122</v>
      </c>
      <c r="W14" s="44">
        <f>H14/'БалансРабВрем  '!$F$15</f>
        <v>397.72727272727275</v>
      </c>
      <c r="X14" s="44">
        <f>I14/'БалансРабВрем  '!$F$16</f>
        <v>437.5</v>
      </c>
      <c r="Y14" s="44">
        <f>J14/'БалансРабВрем  '!$F$17</f>
        <v>437.5</v>
      </c>
      <c r="Z14" s="44">
        <f>K14/'БалансРабВрем  '!$F$20</f>
        <v>397.72727272727275</v>
      </c>
      <c r="AA14" s="44">
        <f>L14/'БалансРабВрем  '!$F$21</f>
        <v>416.66666666666669</v>
      </c>
      <c r="AB14" s="44">
        <f>M14/'БалансРабВрем  '!$F$22</f>
        <v>416.66666666666669</v>
      </c>
      <c r="AC14" s="44">
        <f>N14/'БалансРабВрем  '!$F$25</f>
        <v>380.43478260869563</v>
      </c>
      <c r="AD14" s="44">
        <f>O14/'БалансРабВрем  '!$F$26</f>
        <v>416.66666666666669</v>
      </c>
      <c r="AE14" s="44">
        <f>P14/'БалансРабВрем  '!$F$27</f>
        <v>460.5263157894737</v>
      </c>
    </row>
    <row r="15" spans="1:31" x14ac:dyDescent="0.2">
      <c r="A15" s="101" t="str">
        <f>IF(ISBLANK(B15),"",COUNTA($B$5:B15))</f>
        <v/>
      </c>
      <c r="R15" s="101" t="str">
        <f>IF(ISBLANK(S15),"",COUNTA($S$5:S15))</f>
        <v/>
      </c>
    </row>
    <row r="16" spans="1:31" x14ac:dyDescent="0.2">
      <c r="A16" s="101" t="str">
        <f>IF(ISBLANK(B16),"",COUNTA($B$5:B16))</f>
        <v/>
      </c>
      <c r="R16" s="101" t="str">
        <f>IF(ISBLANK(S16),"",COUNTA($S$5:S16))</f>
        <v/>
      </c>
    </row>
    <row r="17" spans="1:18" x14ac:dyDescent="0.2">
      <c r="A17" s="101" t="str">
        <f>IF(ISBLANK(B17),"",COUNTA($B$5:B17))</f>
        <v/>
      </c>
      <c r="R17" s="101" t="str">
        <f>IF(ISBLANK(S17),"",COUNTA($S$5:S17))</f>
        <v/>
      </c>
    </row>
    <row r="18" spans="1:18" x14ac:dyDescent="0.2">
      <c r="A18" s="101" t="str">
        <f>IF(ISBLANK(B18),"",COUNTA($B$5:B18))</f>
        <v/>
      </c>
      <c r="R18" s="101" t="str">
        <f>IF(ISBLANK(S18),"",COUNTA($S$5:S18))</f>
        <v/>
      </c>
    </row>
    <row r="19" spans="1:18" x14ac:dyDescent="0.2">
      <c r="A19" s="101" t="str">
        <f>IF(ISBLANK(B19),"",COUNTA($B$5:B19))</f>
        <v/>
      </c>
      <c r="R19" s="101" t="str">
        <f>IF(ISBLANK(S19),"",COUNTA($S$5:S19))</f>
        <v/>
      </c>
    </row>
    <row r="20" spans="1:18" x14ac:dyDescent="0.2">
      <c r="A20" s="101" t="str">
        <f>IF(ISBLANK(B20),"",COUNTA($B$5:B20))</f>
        <v/>
      </c>
      <c r="R20" s="101" t="str">
        <f>IF(ISBLANK(S20),"",COUNTA($S$5:S20))</f>
        <v/>
      </c>
    </row>
    <row r="21" spans="1:18" x14ac:dyDescent="0.2">
      <c r="A21" s="101" t="str">
        <f>IF(ISBLANK(B21),"",COUNTA($B$5:B21))</f>
        <v/>
      </c>
      <c r="R21" s="101" t="str">
        <f>IF(ISBLANK(S21),"",COUNTA($S$5:S21))</f>
        <v/>
      </c>
    </row>
    <row r="22" spans="1:18" x14ac:dyDescent="0.2">
      <c r="A22" s="101" t="str">
        <f>IF(ISBLANK(B22),"",COUNTA($B$5:B22))</f>
        <v/>
      </c>
      <c r="R22" s="101" t="str">
        <f>IF(ISBLANK(S22),"",COUNTA($S$5:S22))</f>
        <v/>
      </c>
    </row>
    <row r="23" spans="1:18" x14ac:dyDescent="0.2">
      <c r="A23" s="101" t="str">
        <f>IF(ISBLANK(B23),"",COUNTA($B$5:B23))</f>
        <v/>
      </c>
      <c r="R23" s="101" t="str">
        <f>IF(ISBLANK(S23),"",COUNTA($S$5:S23))</f>
        <v/>
      </c>
    </row>
    <row r="24" spans="1:18" x14ac:dyDescent="0.2">
      <c r="A24" s="101" t="str">
        <f>IF(ISBLANK(B24),"",COUNTA($B$5:B24))</f>
        <v/>
      </c>
      <c r="R24" s="101" t="str">
        <f>IF(ISBLANK(S24),"",COUNTA($S$5:S24))</f>
        <v/>
      </c>
    </row>
    <row r="25" spans="1:18" x14ac:dyDescent="0.2">
      <c r="A25" s="101" t="str">
        <f>IF(ISBLANK(B25),"",COUNTA($B$5:B25))</f>
        <v/>
      </c>
      <c r="R25" s="101" t="str">
        <f>IF(ISBLANK(S25),"",COUNTA($S$5:S25))</f>
        <v/>
      </c>
    </row>
    <row r="26" spans="1:18" x14ac:dyDescent="0.2">
      <c r="A26" s="101" t="str">
        <f>IF(ISBLANK(B26),"",COUNTA($B$5:B26))</f>
        <v/>
      </c>
      <c r="R26" s="101" t="str">
        <f>IF(ISBLANK(S26),"",COUNTA($S$5:S26))</f>
        <v/>
      </c>
    </row>
    <row r="27" spans="1:18" x14ac:dyDescent="0.2">
      <c r="A27" s="101" t="str">
        <f>IF(ISBLANK(B27),"",COUNTA($B$5:B27))</f>
        <v/>
      </c>
      <c r="R27" s="101" t="str">
        <f>IF(ISBLANK(S27),"",COUNTA($S$5:S27))</f>
        <v/>
      </c>
    </row>
    <row r="28" spans="1:18" x14ac:dyDescent="0.2">
      <c r="A28" s="101" t="str">
        <f>IF(ISBLANK(B28),"",COUNTA($B$5:B28))</f>
        <v/>
      </c>
      <c r="R28" s="101" t="str">
        <f>IF(ISBLANK(S28),"",COUNTA($S$5:S28))</f>
        <v/>
      </c>
    </row>
    <row r="29" spans="1:18" x14ac:dyDescent="0.2">
      <c r="A29" s="101" t="str">
        <f>IF(ISBLANK(B29),"",COUNTA($B$5:B29))</f>
        <v/>
      </c>
      <c r="R29" s="101" t="str">
        <f>IF(ISBLANK(S29),"",COUNTA($S$5:S29))</f>
        <v/>
      </c>
    </row>
    <row r="30" spans="1:18" x14ac:dyDescent="0.2">
      <c r="A30" s="101" t="str">
        <f>IF(ISBLANK(B30),"",COUNTA($B$5:B30))</f>
        <v/>
      </c>
      <c r="R30" s="101" t="str">
        <f>IF(ISBLANK(S30),"",COUNTA($S$5:S30))</f>
        <v/>
      </c>
    </row>
    <row r="31" spans="1:18" x14ac:dyDescent="0.2">
      <c r="A31" s="101" t="str">
        <f>IF(ISBLANK(B31),"",COUNTA($B$5:B31))</f>
        <v/>
      </c>
      <c r="R31" s="101" t="str">
        <f>IF(ISBLANK(S31),"",COUNTA($S$5:S31))</f>
        <v/>
      </c>
    </row>
    <row r="32" spans="1:18" x14ac:dyDescent="0.2">
      <c r="A32" s="101" t="str">
        <f>IF(ISBLANK(B32),"",COUNTA($B$5:B32))</f>
        <v/>
      </c>
      <c r="R32" s="101" t="str">
        <f>IF(ISBLANK(S32),"",COUNTA($S$5:S32))</f>
        <v/>
      </c>
    </row>
    <row r="33" spans="1:18" x14ac:dyDescent="0.2">
      <c r="A33" s="101" t="str">
        <f>IF(ISBLANK(B33),"",COUNTA($B$5:B33))</f>
        <v/>
      </c>
      <c r="R33" s="101" t="str">
        <f>IF(ISBLANK(S33),"",COUNTA($S$5:S33))</f>
        <v/>
      </c>
    </row>
    <row r="34" spans="1:18" x14ac:dyDescent="0.2">
      <c r="A34" s="101" t="str">
        <f>IF(ISBLANK(B34),"",COUNTA($B$5:B34))</f>
        <v/>
      </c>
      <c r="R34" s="101" t="str">
        <f>IF(ISBLANK(S34),"",COUNTA($S$5:S34))</f>
        <v/>
      </c>
    </row>
  </sheetData>
  <mergeCells count="1">
    <mergeCell ref="A2:P2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N36"/>
  <sheetViews>
    <sheetView showGridLines="0" defaultGridColor="0" colorId="18" zoomScale="90" zoomScaleNormal="90" workbookViewId="0">
      <selection activeCell="C50" sqref="C50"/>
    </sheetView>
  </sheetViews>
  <sheetFormatPr defaultRowHeight="12" x14ac:dyDescent="0.2"/>
  <cols>
    <col min="1" max="1" width="2.42578125" style="46" customWidth="1"/>
    <col min="2" max="2" width="22.42578125" style="47" customWidth="1"/>
    <col min="3" max="4" width="14.7109375" style="47" customWidth="1"/>
    <col min="5" max="5" width="15.28515625" style="47" customWidth="1"/>
    <col min="6" max="6" width="14" style="47" customWidth="1"/>
    <col min="7" max="7" width="12.42578125" style="47" customWidth="1"/>
    <col min="8" max="8" width="13.5703125" style="47" customWidth="1"/>
    <col min="9" max="9" width="4.7109375" style="51" customWidth="1"/>
    <col min="10" max="10" width="8" style="51" customWidth="1"/>
    <col min="11" max="256" width="9.140625" style="51"/>
    <col min="257" max="257" width="2.42578125" style="51" customWidth="1"/>
    <col min="258" max="258" width="22.42578125" style="51" customWidth="1"/>
    <col min="259" max="260" width="14.7109375" style="51" customWidth="1"/>
    <col min="261" max="261" width="15.28515625" style="51" customWidth="1"/>
    <col min="262" max="262" width="14" style="51" customWidth="1"/>
    <col min="263" max="263" width="12.42578125" style="51" customWidth="1"/>
    <col min="264" max="264" width="13.5703125" style="51" customWidth="1"/>
    <col min="265" max="265" width="4.7109375" style="51" customWidth="1"/>
    <col min="266" max="266" width="8" style="51" customWidth="1"/>
    <col min="267" max="512" width="9.140625" style="51"/>
    <col min="513" max="513" width="2.42578125" style="51" customWidth="1"/>
    <col min="514" max="514" width="22.42578125" style="51" customWidth="1"/>
    <col min="515" max="516" width="14.7109375" style="51" customWidth="1"/>
    <col min="517" max="517" width="15.28515625" style="51" customWidth="1"/>
    <col min="518" max="518" width="14" style="51" customWidth="1"/>
    <col min="519" max="519" width="12.42578125" style="51" customWidth="1"/>
    <col min="520" max="520" width="13.5703125" style="51" customWidth="1"/>
    <col min="521" max="521" width="4.7109375" style="51" customWidth="1"/>
    <col min="522" max="522" width="8" style="51" customWidth="1"/>
    <col min="523" max="768" width="9.140625" style="51"/>
    <col min="769" max="769" width="2.42578125" style="51" customWidth="1"/>
    <col min="770" max="770" width="22.42578125" style="51" customWidth="1"/>
    <col min="771" max="772" width="14.7109375" style="51" customWidth="1"/>
    <col min="773" max="773" width="15.28515625" style="51" customWidth="1"/>
    <col min="774" max="774" width="14" style="51" customWidth="1"/>
    <col min="775" max="775" width="12.42578125" style="51" customWidth="1"/>
    <col min="776" max="776" width="13.5703125" style="51" customWidth="1"/>
    <col min="777" max="777" width="4.7109375" style="51" customWidth="1"/>
    <col min="778" max="778" width="8" style="51" customWidth="1"/>
    <col min="779" max="1024" width="9.140625" style="51"/>
    <col min="1025" max="1025" width="2.42578125" style="51" customWidth="1"/>
    <col min="1026" max="1026" width="22.42578125" style="51" customWidth="1"/>
    <col min="1027" max="1028" width="14.7109375" style="51" customWidth="1"/>
    <col min="1029" max="1029" width="15.28515625" style="51" customWidth="1"/>
    <col min="1030" max="1030" width="14" style="51" customWidth="1"/>
    <col min="1031" max="1031" width="12.42578125" style="51" customWidth="1"/>
    <col min="1032" max="1032" width="13.5703125" style="51" customWidth="1"/>
    <col min="1033" max="1033" width="4.7109375" style="51" customWidth="1"/>
    <col min="1034" max="1034" width="8" style="51" customWidth="1"/>
    <col min="1035" max="1280" width="9.140625" style="51"/>
    <col min="1281" max="1281" width="2.42578125" style="51" customWidth="1"/>
    <col min="1282" max="1282" width="22.42578125" style="51" customWidth="1"/>
    <col min="1283" max="1284" width="14.7109375" style="51" customWidth="1"/>
    <col min="1285" max="1285" width="15.28515625" style="51" customWidth="1"/>
    <col min="1286" max="1286" width="14" style="51" customWidth="1"/>
    <col min="1287" max="1287" width="12.42578125" style="51" customWidth="1"/>
    <col min="1288" max="1288" width="13.5703125" style="51" customWidth="1"/>
    <col min="1289" max="1289" width="4.7109375" style="51" customWidth="1"/>
    <col min="1290" max="1290" width="8" style="51" customWidth="1"/>
    <col min="1291" max="1536" width="9.140625" style="51"/>
    <col min="1537" max="1537" width="2.42578125" style="51" customWidth="1"/>
    <col min="1538" max="1538" width="22.42578125" style="51" customWidth="1"/>
    <col min="1539" max="1540" width="14.7109375" style="51" customWidth="1"/>
    <col min="1541" max="1541" width="15.28515625" style="51" customWidth="1"/>
    <col min="1542" max="1542" width="14" style="51" customWidth="1"/>
    <col min="1543" max="1543" width="12.42578125" style="51" customWidth="1"/>
    <col min="1544" max="1544" width="13.5703125" style="51" customWidth="1"/>
    <col min="1545" max="1545" width="4.7109375" style="51" customWidth="1"/>
    <col min="1546" max="1546" width="8" style="51" customWidth="1"/>
    <col min="1547" max="1792" width="9.140625" style="51"/>
    <col min="1793" max="1793" width="2.42578125" style="51" customWidth="1"/>
    <col min="1794" max="1794" width="22.42578125" style="51" customWidth="1"/>
    <col min="1795" max="1796" width="14.7109375" style="51" customWidth="1"/>
    <col min="1797" max="1797" width="15.28515625" style="51" customWidth="1"/>
    <col min="1798" max="1798" width="14" style="51" customWidth="1"/>
    <col min="1799" max="1799" width="12.42578125" style="51" customWidth="1"/>
    <col min="1800" max="1800" width="13.5703125" style="51" customWidth="1"/>
    <col min="1801" max="1801" width="4.7109375" style="51" customWidth="1"/>
    <col min="1802" max="1802" width="8" style="51" customWidth="1"/>
    <col min="1803" max="2048" width="9.140625" style="51"/>
    <col min="2049" max="2049" width="2.42578125" style="51" customWidth="1"/>
    <col min="2050" max="2050" width="22.42578125" style="51" customWidth="1"/>
    <col min="2051" max="2052" width="14.7109375" style="51" customWidth="1"/>
    <col min="2053" max="2053" width="15.28515625" style="51" customWidth="1"/>
    <col min="2054" max="2054" width="14" style="51" customWidth="1"/>
    <col min="2055" max="2055" width="12.42578125" style="51" customWidth="1"/>
    <col min="2056" max="2056" width="13.5703125" style="51" customWidth="1"/>
    <col min="2057" max="2057" width="4.7109375" style="51" customWidth="1"/>
    <col min="2058" max="2058" width="8" style="51" customWidth="1"/>
    <col min="2059" max="2304" width="9.140625" style="51"/>
    <col min="2305" max="2305" width="2.42578125" style="51" customWidth="1"/>
    <col min="2306" max="2306" width="22.42578125" style="51" customWidth="1"/>
    <col min="2307" max="2308" width="14.7109375" style="51" customWidth="1"/>
    <col min="2309" max="2309" width="15.28515625" style="51" customWidth="1"/>
    <col min="2310" max="2310" width="14" style="51" customWidth="1"/>
    <col min="2311" max="2311" width="12.42578125" style="51" customWidth="1"/>
    <col min="2312" max="2312" width="13.5703125" style="51" customWidth="1"/>
    <col min="2313" max="2313" width="4.7109375" style="51" customWidth="1"/>
    <col min="2314" max="2314" width="8" style="51" customWidth="1"/>
    <col min="2315" max="2560" width="9.140625" style="51"/>
    <col min="2561" max="2561" width="2.42578125" style="51" customWidth="1"/>
    <col min="2562" max="2562" width="22.42578125" style="51" customWidth="1"/>
    <col min="2563" max="2564" width="14.7109375" style="51" customWidth="1"/>
    <col min="2565" max="2565" width="15.28515625" style="51" customWidth="1"/>
    <col min="2566" max="2566" width="14" style="51" customWidth="1"/>
    <col min="2567" max="2567" width="12.42578125" style="51" customWidth="1"/>
    <col min="2568" max="2568" width="13.5703125" style="51" customWidth="1"/>
    <col min="2569" max="2569" width="4.7109375" style="51" customWidth="1"/>
    <col min="2570" max="2570" width="8" style="51" customWidth="1"/>
    <col min="2571" max="2816" width="9.140625" style="51"/>
    <col min="2817" max="2817" width="2.42578125" style="51" customWidth="1"/>
    <col min="2818" max="2818" width="22.42578125" style="51" customWidth="1"/>
    <col min="2819" max="2820" width="14.7109375" style="51" customWidth="1"/>
    <col min="2821" max="2821" width="15.28515625" style="51" customWidth="1"/>
    <col min="2822" max="2822" width="14" style="51" customWidth="1"/>
    <col min="2823" max="2823" width="12.42578125" style="51" customWidth="1"/>
    <col min="2824" max="2824" width="13.5703125" style="51" customWidth="1"/>
    <col min="2825" max="2825" width="4.7109375" style="51" customWidth="1"/>
    <col min="2826" max="2826" width="8" style="51" customWidth="1"/>
    <col min="2827" max="3072" width="9.140625" style="51"/>
    <col min="3073" max="3073" width="2.42578125" style="51" customWidth="1"/>
    <col min="3074" max="3074" width="22.42578125" style="51" customWidth="1"/>
    <col min="3075" max="3076" width="14.7109375" style="51" customWidth="1"/>
    <col min="3077" max="3077" width="15.28515625" style="51" customWidth="1"/>
    <col min="3078" max="3078" width="14" style="51" customWidth="1"/>
    <col min="3079" max="3079" width="12.42578125" style="51" customWidth="1"/>
    <col min="3080" max="3080" width="13.5703125" style="51" customWidth="1"/>
    <col min="3081" max="3081" width="4.7109375" style="51" customWidth="1"/>
    <col min="3082" max="3082" width="8" style="51" customWidth="1"/>
    <col min="3083" max="3328" width="9.140625" style="51"/>
    <col min="3329" max="3329" width="2.42578125" style="51" customWidth="1"/>
    <col min="3330" max="3330" width="22.42578125" style="51" customWidth="1"/>
    <col min="3331" max="3332" width="14.7109375" style="51" customWidth="1"/>
    <col min="3333" max="3333" width="15.28515625" style="51" customWidth="1"/>
    <col min="3334" max="3334" width="14" style="51" customWidth="1"/>
    <col min="3335" max="3335" width="12.42578125" style="51" customWidth="1"/>
    <col min="3336" max="3336" width="13.5703125" style="51" customWidth="1"/>
    <col min="3337" max="3337" width="4.7109375" style="51" customWidth="1"/>
    <col min="3338" max="3338" width="8" style="51" customWidth="1"/>
    <col min="3339" max="3584" width="9.140625" style="51"/>
    <col min="3585" max="3585" width="2.42578125" style="51" customWidth="1"/>
    <col min="3586" max="3586" width="22.42578125" style="51" customWidth="1"/>
    <col min="3587" max="3588" width="14.7109375" style="51" customWidth="1"/>
    <col min="3589" max="3589" width="15.28515625" style="51" customWidth="1"/>
    <col min="3590" max="3590" width="14" style="51" customWidth="1"/>
    <col min="3591" max="3591" width="12.42578125" style="51" customWidth="1"/>
    <col min="3592" max="3592" width="13.5703125" style="51" customWidth="1"/>
    <col min="3593" max="3593" width="4.7109375" style="51" customWidth="1"/>
    <col min="3594" max="3594" width="8" style="51" customWidth="1"/>
    <col min="3595" max="3840" width="9.140625" style="51"/>
    <col min="3841" max="3841" width="2.42578125" style="51" customWidth="1"/>
    <col min="3842" max="3842" width="22.42578125" style="51" customWidth="1"/>
    <col min="3843" max="3844" width="14.7109375" style="51" customWidth="1"/>
    <col min="3845" max="3845" width="15.28515625" style="51" customWidth="1"/>
    <col min="3846" max="3846" width="14" style="51" customWidth="1"/>
    <col min="3847" max="3847" width="12.42578125" style="51" customWidth="1"/>
    <col min="3848" max="3848" width="13.5703125" style="51" customWidth="1"/>
    <col min="3849" max="3849" width="4.7109375" style="51" customWidth="1"/>
    <col min="3850" max="3850" width="8" style="51" customWidth="1"/>
    <col min="3851" max="4096" width="9.140625" style="51"/>
    <col min="4097" max="4097" width="2.42578125" style="51" customWidth="1"/>
    <col min="4098" max="4098" width="22.42578125" style="51" customWidth="1"/>
    <col min="4099" max="4100" width="14.7109375" style="51" customWidth="1"/>
    <col min="4101" max="4101" width="15.28515625" style="51" customWidth="1"/>
    <col min="4102" max="4102" width="14" style="51" customWidth="1"/>
    <col min="4103" max="4103" width="12.42578125" style="51" customWidth="1"/>
    <col min="4104" max="4104" width="13.5703125" style="51" customWidth="1"/>
    <col min="4105" max="4105" width="4.7109375" style="51" customWidth="1"/>
    <col min="4106" max="4106" width="8" style="51" customWidth="1"/>
    <col min="4107" max="4352" width="9.140625" style="51"/>
    <col min="4353" max="4353" width="2.42578125" style="51" customWidth="1"/>
    <col min="4354" max="4354" width="22.42578125" style="51" customWidth="1"/>
    <col min="4355" max="4356" width="14.7109375" style="51" customWidth="1"/>
    <col min="4357" max="4357" width="15.28515625" style="51" customWidth="1"/>
    <col min="4358" max="4358" width="14" style="51" customWidth="1"/>
    <col min="4359" max="4359" width="12.42578125" style="51" customWidth="1"/>
    <col min="4360" max="4360" width="13.5703125" style="51" customWidth="1"/>
    <col min="4361" max="4361" width="4.7109375" style="51" customWidth="1"/>
    <col min="4362" max="4362" width="8" style="51" customWidth="1"/>
    <col min="4363" max="4608" width="9.140625" style="51"/>
    <col min="4609" max="4609" width="2.42578125" style="51" customWidth="1"/>
    <col min="4610" max="4610" width="22.42578125" style="51" customWidth="1"/>
    <col min="4611" max="4612" width="14.7109375" style="51" customWidth="1"/>
    <col min="4613" max="4613" width="15.28515625" style="51" customWidth="1"/>
    <col min="4614" max="4614" width="14" style="51" customWidth="1"/>
    <col min="4615" max="4615" width="12.42578125" style="51" customWidth="1"/>
    <col min="4616" max="4616" width="13.5703125" style="51" customWidth="1"/>
    <col min="4617" max="4617" width="4.7109375" style="51" customWidth="1"/>
    <col min="4618" max="4618" width="8" style="51" customWidth="1"/>
    <col min="4619" max="4864" width="9.140625" style="51"/>
    <col min="4865" max="4865" width="2.42578125" style="51" customWidth="1"/>
    <col min="4866" max="4866" width="22.42578125" style="51" customWidth="1"/>
    <col min="4867" max="4868" width="14.7109375" style="51" customWidth="1"/>
    <col min="4869" max="4869" width="15.28515625" style="51" customWidth="1"/>
    <col min="4870" max="4870" width="14" style="51" customWidth="1"/>
    <col min="4871" max="4871" width="12.42578125" style="51" customWidth="1"/>
    <col min="4872" max="4872" width="13.5703125" style="51" customWidth="1"/>
    <col min="4873" max="4873" width="4.7109375" style="51" customWidth="1"/>
    <col min="4874" max="4874" width="8" style="51" customWidth="1"/>
    <col min="4875" max="5120" width="9.140625" style="51"/>
    <col min="5121" max="5121" width="2.42578125" style="51" customWidth="1"/>
    <col min="5122" max="5122" width="22.42578125" style="51" customWidth="1"/>
    <col min="5123" max="5124" width="14.7109375" style="51" customWidth="1"/>
    <col min="5125" max="5125" width="15.28515625" style="51" customWidth="1"/>
    <col min="5126" max="5126" width="14" style="51" customWidth="1"/>
    <col min="5127" max="5127" width="12.42578125" style="51" customWidth="1"/>
    <col min="5128" max="5128" width="13.5703125" style="51" customWidth="1"/>
    <col min="5129" max="5129" width="4.7109375" style="51" customWidth="1"/>
    <col min="5130" max="5130" width="8" style="51" customWidth="1"/>
    <col min="5131" max="5376" width="9.140625" style="51"/>
    <col min="5377" max="5377" width="2.42578125" style="51" customWidth="1"/>
    <col min="5378" max="5378" width="22.42578125" style="51" customWidth="1"/>
    <col min="5379" max="5380" width="14.7109375" style="51" customWidth="1"/>
    <col min="5381" max="5381" width="15.28515625" style="51" customWidth="1"/>
    <col min="5382" max="5382" width="14" style="51" customWidth="1"/>
    <col min="5383" max="5383" width="12.42578125" style="51" customWidth="1"/>
    <col min="5384" max="5384" width="13.5703125" style="51" customWidth="1"/>
    <col min="5385" max="5385" width="4.7109375" style="51" customWidth="1"/>
    <col min="5386" max="5386" width="8" style="51" customWidth="1"/>
    <col min="5387" max="5632" width="9.140625" style="51"/>
    <col min="5633" max="5633" width="2.42578125" style="51" customWidth="1"/>
    <col min="5634" max="5634" width="22.42578125" style="51" customWidth="1"/>
    <col min="5635" max="5636" width="14.7109375" style="51" customWidth="1"/>
    <col min="5637" max="5637" width="15.28515625" style="51" customWidth="1"/>
    <col min="5638" max="5638" width="14" style="51" customWidth="1"/>
    <col min="5639" max="5639" width="12.42578125" style="51" customWidth="1"/>
    <col min="5640" max="5640" width="13.5703125" style="51" customWidth="1"/>
    <col min="5641" max="5641" width="4.7109375" style="51" customWidth="1"/>
    <col min="5642" max="5642" width="8" style="51" customWidth="1"/>
    <col min="5643" max="5888" width="9.140625" style="51"/>
    <col min="5889" max="5889" width="2.42578125" style="51" customWidth="1"/>
    <col min="5890" max="5890" width="22.42578125" style="51" customWidth="1"/>
    <col min="5891" max="5892" width="14.7109375" style="51" customWidth="1"/>
    <col min="5893" max="5893" width="15.28515625" style="51" customWidth="1"/>
    <col min="5894" max="5894" width="14" style="51" customWidth="1"/>
    <col min="5895" max="5895" width="12.42578125" style="51" customWidth="1"/>
    <col min="5896" max="5896" width="13.5703125" style="51" customWidth="1"/>
    <col min="5897" max="5897" width="4.7109375" style="51" customWidth="1"/>
    <col min="5898" max="5898" width="8" style="51" customWidth="1"/>
    <col min="5899" max="6144" width="9.140625" style="51"/>
    <col min="6145" max="6145" width="2.42578125" style="51" customWidth="1"/>
    <col min="6146" max="6146" width="22.42578125" style="51" customWidth="1"/>
    <col min="6147" max="6148" width="14.7109375" style="51" customWidth="1"/>
    <col min="6149" max="6149" width="15.28515625" style="51" customWidth="1"/>
    <col min="6150" max="6150" width="14" style="51" customWidth="1"/>
    <col min="6151" max="6151" width="12.42578125" style="51" customWidth="1"/>
    <col min="6152" max="6152" width="13.5703125" style="51" customWidth="1"/>
    <col min="6153" max="6153" width="4.7109375" style="51" customWidth="1"/>
    <col min="6154" max="6154" width="8" style="51" customWidth="1"/>
    <col min="6155" max="6400" width="9.140625" style="51"/>
    <col min="6401" max="6401" width="2.42578125" style="51" customWidth="1"/>
    <col min="6402" max="6402" width="22.42578125" style="51" customWidth="1"/>
    <col min="6403" max="6404" width="14.7109375" style="51" customWidth="1"/>
    <col min="6405" max="6405" width="15.28515625" style="51" customWidth="1"/>
    <col min="6406" max="6406" width="14" style="51" customWidth="1"/>
    <col min="6407" max="6407" width="12.42578125" style="51" customWidth="1"/>
    <col min="6408" max="6408" width="13.5703125" style="51" customWidth="1"/>
    <col min="6409" max="6409" width="4.7109375" style="51" customWidth="1"/>
    <col min="6410" max="6410" width="8" style="51" customWidth="1"/>
    <col min="6411" max="6656" width="9.140625" style="51"/>
    <col min="6657" max="6657" width="2.42578125" style="51" customWidth="1"/>
    <col min="6658" max="6658" width="22.42578125" style="51" customWidth="1"/>
    <col min="6659" max="6660" width="14.7109375" style="51" customWidth="1"/>
    <col min="6661" max="6661" width="15.28515625" style="51" customWidth="1"/>
    <col min="6662" max="6662" width="14" style="51" customWidth="1"/>
    <col min="6663" max="6663" width="12.42578125" style="51" customWidth="1"/>
    <col min="6664" max="6664" width="13.5703125" style="51" customWidth="1"/>
    <col min="6665" max="6665" width="4.7109375" style="51" customWidth="1"/>
    <col min="6666" max="6666" width="8" style="51" customWidth="1"/>
    <col min="6667" max="6912" width="9.140625" style="51"/>
    <col min="6913" max="6913" width="2.42578125" style="51" customWidth="1"/>
    <col min="6914" max="6914" width="22.42578125" style="51" customWidth="1"/>
    <col min="6915" max="6916" width="14.7109375" style="51" customWidth="1"/>
    <col min="6917" max="6917" width="15.28515625" style="51" customWidth="1"/>
    <col min="6918" max="6918" width="14" style="51" customWidth="1"/>
    <col min="6919" max="6919" width="12.42578125" style="51" customWidth="1"/>
    <col min="6920" max="6920" width="13.5703125" style="51" customWidth="1"/>
    <col min="6921" max="6921" width="4.7109375" style="51" customWidth="1"/>
    <col min="6922" max="6922" width="8" style="51" customWidth="1"/>
    <col min="6923" max="7168" width="9.140625" style="51"/>
    <col min="7169" max="7169" width="2.42578125" style="51" customWidth="1"/>
    <col min="7170" max="7170" width="22.42578125" style="51" customWidth="1"/>
    <col min="7171" max="7172" width="14.7109375" style="51" customWidth="1"/>
    <col min="7173" max="7173" width="15.28515625" style="51" customWidth="1"/>
    <col min="7174" max="7174" width="14" style="51" customWidth="1"/>
    <col min="7175" max="7175" width="12.42578125" style="51" customWidth="1"/>
    <col min="7176" max="7176" width="13.5703125" style="51" customWidth="1"/>
    <col min="7177" max="7177" width="4.7109375" style="51" customWidth="1"/>
    <col min="7178" max="7178" width="8" style="51" customWidth="1"/>
    <col min="7179" max="7424" width="9.140625" style="51"/>
    <col min="7425" max="7425" width="2.42578125" style="51" customWidth="1"/>
    <col min="7426" max="7426" width="22.42578125" style="51" customWidth="1"/>
    <col min="7427" max="7428" width="14.7109375" style="51" customWidth="1"/>
    <col min="7429" max="7429" width="15.28515625" style="51" customWidth="1"/>
    <col min="7430" max="7430" width="14" style="51" customWidth="1"/>
    <col min="7431" max="7431" width="12.42578125" style="51" customWidth="1"/>
    <col min="7432" max="7432" width="13.5703125" style="51" customWidth="1"/>
    <col min="7433" max="7433" width="4.7109375" style="51" customWidth="1"/>
    <col min="7434" max="7434" width="8" style="51" customWidth="1"/>
    <col min="7435" max="7680" width="9.140625" style="51"/>
    <col min="7681" max="7681" width="2.42578125" style="51" customWidth="1"/>
    <col min="7682" max="7682" width="22.42578125" style="51" customWidth="1"/>
    <col min="7683" max="7684" width="14.7109375" style="51" customWidth="1"/>
    <col min="7685" max="7685" width="15.28515625" style="51" customWidth="1"/>
    <col min="7686" max="7686" width="14" style="51" customWidth="1"/>
    <col min="7687" max="7687" width="12.42578125" style="51" customWidth="1"/>
    <col min="7688" max="7688" width="13.5703125" style="51" customWidth="1"/>
    <col min="7689" max="7689" width="4.7109375" style="51" customWidth="1"/>
    <col min="7690" max="7690" width="8" style="51" customWidth="1"/>
    <col min="7691" max="7936" width="9.140625" style="51"/>
    <col min="7937" max="7937" width="2.42578125" style="51" customWidth="1"/>
    <col min="7938" max="7938" width="22.42578125" style="51" customWidth="1"/>
    <col min="7939" max="7940" width="14.7109375" style="51" customWidth="1"/>
    <col min="7941" max="7941" width="15.28515625" style="51" customWidth="1"/>
    <col min="7942" max="7942" width="14" style="51" customWidth="1"/>
    <col min="7943" max="7943" width="12.42578125" style="51" customWidth="1"/>
    <col min="7944" max="7944" width="13.5703125" style="51" customWidth="1"/>
    <col min="7945" max="7945" width="4.7109375" style="51" customWidth="1"/>
    <col min="7946" max="7946" width="8" style="51" customWidth="1"/>
    <col min="7947" max="8192" width="9.140625" style="51"/>
    <col min="8193" max="8193" width="2.42578125" style="51" customWidth="1"/>
    <col min="8194" max="8194" width="22.42578125" style="51" customWidth="1"/>
    <col min="8195" max="8196" width="14.7109375" style="51" customWidth="1"/>
    <col min="8197" max="8197" width="15.28515625" style="51" customWidth="1"/>
    <col min="8198" max="8198" width="14" style="51" customWidth="1"/>
    <col min="8199" max="8199" width="12.42578125" style="51" customWidth="1"/>
    <col min="8200" max="8200" width="13.5703125" style="51" customWidth="1"/>
    <col min="8201" max="8201" width="4.7109375" style="51" customWidth="1"/>
    <col min="8202" max="8202" width="8" style="51" customWidth="1"/>
    <col min="8203" max="8448" width="9.140625" style="51"/>
    <col min="8449" max="8449" width="2.42578125" style="51" customWidth="1"/>
    <col min="8450" max="8450" width="22.42578125" style="51" customWidth="1"/>
    <col min="8451" max="8452" width="14.7109375" style="51" customWidth="1"/>
    <col min="8453" max="8453" width="15.28515625" style="51" customWidth="1"/>
    <col min="8454" max="8454" width="14" style="51" customWidth="1"/>
    <col min="8455" max="8455" width="12.42578125" style="51" customWidth="1"/>
    <col min="8456" max="8456" width="13.5703125" style="51" customWidth="1"/>
    <col min="8457" max="8457" width="4.7109375" style="51" customWidth="1"/>
    <col min="8458" max="8458" width="8" style="51" customWidth="1"/>
    <col min="8459" max="8704" width="9.140625" style="51"/>
    <col min="8705" max="8705" width="2.42578125" style="51" customWidth="1"/>
    <col min="8706" max="8706" width="22.42578125" style="51" customWidth="1"/>
    <col min="8707" max="8708" width="14.7109375" style="51" customWidth="1"/>
    <col min="8709" max="8709" width="15.28515625" style="51" customWidth="1"/>
    <col min="8710" max="8710" width="14" style="51" customWidth="1"/>
    <col min="8711" max="8711" width="12.42578125" style="51" customWidth="1"/>
    <col min="8712" max="8712" width="13.5703125" style="51" customWidth="1"/>
    <col min="8713" max="8713" width="4.7109375" style="51" customWidth="1"/>
    <col min="8714" max="8714" width="8" style="51" customWidth="1"/>
    <col min="8715" max="8960" width="9.140625" style="51"/>
    <col min="8961" max="8961" width="2.42578125" style="51" customWidth="1"/>
    <col min="8962" max="8962" width="22.42578125" style="51" customWidth="1"/>
    <col min="8963" max="8964" width="14.7109375" style="51" customWidth="1"/>
    <col min="8965" max="8965" width="15.28515625" style="51" customWidth="1"/>
    <col min="8966" max="8966" width="14" style="51" customWidth="1"/>
    <col min="8967" max="8967" width="12.42578125" style="51" customWidth="1"/>
    <col min="8968" max="8968" width="13.5703125" style="51" customWidth="1"/>
    <col min="8969" max="8969" width="4.7109375" style="51" customWidth="1"/>
    <col min="8970" max="8970" width="8" style="51" customWidth="1"/>
    <col min="8971" max="9216" width="9.140625" style="51"/>
    <col min="9217" max="9217" width="2.42578125" style="51" customWidth="1"/>
    <col min="9218" max="9218" width="22.42578125" style="51" customWidth="1"/>
    <col min="9219" max="9220" width="14.7109375" style="51" customWidth="1"/>
    <col min="9221" max="9221" width="15.28515625" style="51" customWidth="1"/>
    <col min="9222" max="9222" width="14" style="51" customWidth="1"/>
    <col min="9223" max="9223" width="12.42578125" style="51" customWidth="1"/>
    <col min="9224" max="9224" width="13.5703125" style="51" customWidth="1"/>
    <col min="9225" max="9225" width="4.7109375" style="51" customWidth="1"/>
    <col min="9226" max="9226" width="8" style="51" customWidth="1"/>
    <col min="9227" max="9472" width="9.140625" style="51"/>
    <col min="9473" max="9473" width="2.42578125" style="51" customWidth="1"/>
    <col min="9474" max="9474" width="22.42578125" style="51" customWidth="1"/>
    <col min="9475" max="9476" width="14.7109375" style="51" customWidth="1"/>
    <col min="9477" max="9477" width="15.28515625" style="51" customWidth="1"/>
    <col min="9478" max="9478" width="14" style="51" customWidth="1"/>
    <col min="9479" max="9479" width="12.42578125" style="51" customWidth="1"/>
    <col min="9480" max="9480" width="13.5703125" style="51" customWidth="1"/>
    <col min="9481" max="9481" width="4.7109375" style="51" customWidth="1"/>
    <col min="9482" max="9482" width="8" style="51" customWidth="1"/>
    <col min="9483" max="9728" width="9.140625" style="51"/>
    <col min="9729" max="9729" width="2.42578125" style="51" customWidth="1"/>
    <col min="9730" max="9730" width="22.42578125" style="51" customWidth="1"/>
    <col min="9731" max="9732" width="14.7109375" style="51" customWidth="1"/>
    <col min="9733" max="9733" width="15.28515625" style="51" customWidth="1"/>
    <col min="9734" max="9734" width="14" style="51" customWidth="1"/>
    <col min="9735" max="9735" width="12.42578125" style="51" customWidth="1"/>
    <col min="9736" max="9736" width="13.5703125" style="51" customWidth="1"/>
    <col min="9737" max="9737" width="4.7109375" style="51" customWidth="1"/>
    <col min="9738" max="9738" width="8" style="51" customWidth="1"/>
    <col min="9739" max="9984" width="9.140625" style="51"/>
    <col min="9985" max="9985" width="2.42578125" style="51" customWidth="1"/>
    <col min="9986" max="9986" width="22.42578125" style="51" customWidth="1"/>
    <col min="9987" max="9988" width="14.7109375" style="51" customWidth="1"/>
    <col min="9989" max="9989" width="15.28515625" style="51" customWidth="1"/>
    <col min="9990" max="9990" width="14" style="51" customWidth="1"/>
    <col min="9991" max="9991" width="12.42578125" style="51" customWidth="1"/>
    <col min="9992" max="9992" width="13.5703125" style="51" customWidth="1"/>
    <col min="9993" max="9993" width="4.7109375" style="51" customWidth="1"/>
    <col min="9994" max="9994" width="8" style="51" customWidth="1"/>
    <col min="9995" max="10240" width="9.140625" style="51"/>
    <col min="10241" max="10241" width="2.42578125" style="51" customWidth="1"/>
    <col min="10242" max="10242" width="22.42578125" style="51" customWidth="1"/>
    <col min="10243" max="10244" width="14.7109375" style="51" customWidth="1"/>
    <col min="10245" max="10245" width="15.28515625" style="51" customWidth="1"/>
    <col min="10246" max="10246" width="14" style="51" customWidth="1"/>
    <col min="10247" max="10247" width="12.42578125" style="51" customWidth="1"/>
    <col min="10248" max="10248" width="13.5703125" style="51" customWidth="1"/>
    <col min="10249" max="10249" width="4.7109375" style="51" customWidth="1"/>
    <col min="10250" max="10250" width="8" style="51" customWidth="1"/>
    <col min="10251" max="10496" width="9.140625" style="51"/>
    <col min="10497" max="10497" width="2.42578125" style="51" customWidth="1"/>
    <col min="10498" max="10498" width="22.42578125" style="51" customWidth="1"/>
    <col min="10499" max="10500" width="14.7109375" style="51" customWidth="1"/>
    <col min="10501" max="10501" width="15.28515625" style="51" customWidth="1"/>
    <col min="10502" max="10502" width="14" style="51" customWidth="1"/>
    <col min="10503" max="10503" width="12.42578125" style="51" customWidth="1"/>
    <col min="10504" max="10504" width="13.5703125" style="51" customWidth="1"/>
    <col min="10505" max="10505" width="4.7109375" style="51" customWidth="1"/>
    <col min="10506" max="10506" width="8" style="51" customWidth="1"/>
    <col min="10507" max="10752" width="9.140625" style="51"/>
    <col min="10753" max="10753" width="2.42578125" style="51" customWidth="1"/>
    <col min="10754" max="10754" width="22.42578125" style="51" customWidth="1"/>
    <col min="10755" max="10756" width="14.7109375" style="51" customWidth="1"/>
    <col min="10757" max="10757" width="15.28515625" style="51" customWidth="1"/>
    <col min="10758" max="10758" width="14" style="51" customWidth="1"/>
    <col min="10759" max="10759" width="12.42578125" style="51" customWidth="1"/>
    <col min="10760" max="10760" width="13.5703125" style="51" customWidth="1"/>
    <col min="10761" max="10761" width="4.7109375" style="51" customWidth="1"/>
    <col min="10762" max="10762" width="8" style="51" customWidth="1"/>
    <col min="10763" max="11008" width="9.140625" style="51"/>
    <col min="11009" max="11009" width="2.42578125" style="51" customWidth="1"/>
    <col min="11010" max="11010" width="22.42578125" style="51" customWidth="1"/>
    <col min="11011" max="11012" width="14.7109375" style="51" customWidth="1"/>
    <col min="11013" max="11013" width="15.28515625" style="51" customWidth="1"/>
    <col min="11014" max="11014" width="14" style="51" customWidth="1"/>
    <col min="11015" max="11015" width="12.42578125" style="51" customWidth="1"/>
    <col min="11016" max="11016" width="13.5703125" style="51" customWidth="1"/>
    <col min="11017" max="11017" width="4.7109375" style="51" customWidth="1"/>
    <col min="11018" max="11018" width="8" style="51" customWidth="1"/>
    <col min="11019" max="11264" width="9.140625" style="51"/>
    <col min="11265" max="11265" width="2.42578125" style="51" customWidth="1"/>
    <col min="11266" max="11266" width="22.42578125" style="51" customWidth="1"/>
    <col min="11267" max="11268" width="14.7109375" style="51" customWidth="1"/>
    <col min="11269" max="11269" width="15.28515625" style="51" customWidth="1"/>
    <col min="11270" max="11270" width="14" style="51" customWidth="1"/>
    <col min="11271" max="11271" width="12.42578125" style="51" customWidth="1"/>
    <col min="11272" max="11272" width="13.5703125" style="51" customWidth="1"/>
    <col min="11273" max="11273" width="4.7109375" style="51" customWidth="1"/>
    <col min="11274" max="11274" width="8" style="51" customWidth="1"/>
    <col min="11275" max="11520" width="9.140625" style="51"/>
    <col min="11521" max="11521" width="2.42578125" style="51" customWidth="1"/>
    <col min="11522" max="11522" width="22.42578125" style="51" customWidth="1"/>
    <col min="11523" max="11524" width="14.7109375" style="51" customWidth="1"/>
    <col min="11525" max="11525" width="15.28515625" style="51" customWidth="1"/>
    <col min="11526" max="11526" width="14" style="51" customWidth="1"/>
    <col min="11527" max="11527" width="12.42578125" style="51" customWidth="1"/>
    <col min="11528" max="11528" width="13.5703125" style="51" customWidth="1"/>
    <col min="11529" max="11529" width="4.7109375" style="51" customWidth="1"/>
    <col min="11530" max="11530" width="8" style="51" customWidth="1"/>
    <col min="11531" max="11776" width="9.140625" style="51"/>
    <col min="11777" max="11777" width="2.42578125" style="51" customWidth="1"/>
    <col min="11778" max="11778" width="22.42578125" style="51" customWidth="1"/>
    <col min="11779" max="11780" width="14.7109375" style="51" customWidth="1"/>
    <col min="11781" max="11781" width="15.28515625" style="51" customWidth="1"/>
    <col min="11782" max="11782" width="14" style="51" customWidth="1"/>
    <col min="11783" max="11783" width="12.42578125" style="51" customWidth="1"/>
    <col min="11784" max="11784" width="13.5703125" style="51" customWidth="1"/>
    <col min="11785" max="11785" width="4.7109375" style="51" customWidth="1"/>
    <col min="11786" max="11786" width="8" style="51" customWidth="1"/>
    <col min="11787" max="12032" width="9.140625" style="51"/>
    <col min="12033" max="12033" width="2.42578125" style="51" customWidth="1"/>
    <col min="12034" max="12034" width="22.42578125" style="51" customWidth="1"/>
    <col min="12035" max="12036" width="14.7109375" style="51" customWidth="1"/>
    <col min="12037" max="12037" width="15.28515625" style="51" customWidth="1"/>
    <col min="12038" max="12038" width="14" style="51" customWidth="1"/>
    <col min="12039" max="12039" width="12.42578125" style="51" customWidth="1"/>
    <col min="12040" max="12040" width="13.5703125" style="51" customWidth="1"/>
    <col min="12041" max="12041" width="4.7109375" style="51" customWidth="1"/>
    <col min="12042" max="12042" width="8" style="51" customWidth="1"/>
    <col min="12043" max="12288" width="9.140625" style="51"/>
    <col min="12289" max="12289" width="2.42578125" style="51" customWidth="1"/>
    <col min="12290" max="12290" width="22.42578125" style="51" customWidth="1"/>
    <col min="12291" max="12292" width="14.7109375" style="51" customWidth="1"/>
    <col min="12293" max="12293" width="15.28515625" style="51" customWidth="1"/>
    <col min="12294" max="12294" width="14" style="51" customWidth="1"/>
    <col min="12295" max="12295" width="12.42578125" style="51" customWidth="1"/>
    <col min="12296" max="12296" width="13.5703125" style="51" customWidth="1"/>
    <col min="12297" max="12297" width="4.7109375" style="51" customWidth="1"/>
    <col min="12298" max="12298" width="8" style="51" customWidth="1"/>
    <col min="12299" max="12544" width="9.140625" style="51"/>
    <col min="12545" max="12545" width="2.42578125" style="51" customWidth="1"/>
    <col min="12546" max="12546" width="22.42578125" style="51" customWidth="1"/>
    <col min="12547" max="12548" width="14.7109375" style="51" customWidth="1"/>
    <col min="12549" max="12549" width="15.28515625" style="51" customWidth="1"/>
    <col min="12550" max="12550" width="14" style="51" customWidth="1"/>
    <col min="12551" max="12551" width="12.42578125" style="51" customWidth="1"/>
    <col min="12552" max="12552" width="13.5703125" style="51" customWidth="1"/>
    <col min="12553" max="12553" width="4.7109375" style="51" customWidth="1"/>
    <col min="12554" max="12554" width="8" style="51" customWidth="1"/>
    <col min="12555" max="12800" width="9.140625" style="51"/>
    <col min="12801" max="12801" width="2.42578125" style="51" customWidth="1"/>
    <col min="12802" max="12802" width="22.42578125" style="51" customWidth="1"/>
    <col min="12803" max="12804" width="14.7109375" style="51" customWidth="1"/>
    <col min="12805" max="12805" width="15.28515625" style="51" customWidth="1"/>
    <col min="12806" max="12806" width="14" style="51" customWidth="1"/>
    <col min="12807" max="12807" width="12.42578125" style="51" customWidth="1"/>
    <col min="12808" max="12808" width="13.5703125" style="51" customWidth="1"/>
    <col min="12809" max="12809" width="4.7109375" style="51" customWidth="1"/>
    <col min="12810" max="12810" width="8" style="51" customWidth="1"/>
    <col min="12811" max="13056" width="9.140625" style="51"/>
    <col min="13057" max="13057" width="2.42578125" style="51" customWidth="1"/>
    <col min="13058" max="13058" width="22.42578125" style="51" customWidth="1"/>
    <col min="13059" max="13060" width="14.7109375" style="51" customWidth="1"/>
    <col min="13061" max="13061" width="15.28515625" style="51" customWidth="1"/>
    <col min="13062" max="13062" width="14" style="51" customWidth="1"/>
    <col min="13063" max="13063" width="12.42578125" style="51" customWidth="1"/>
    <col min="13064" max="13064" width="13.5703125" style="51" customWidth="1"/>
    <col min="13065" max="13065" width="4.7109375" style="51" customWidth="1"/>
    <col min="13066" max="13066" width="8" style="51" customWidth="1"/>
    <col min="13067" max="13312" width="9.140625" style="51"/>
    <col min="13313" max="13313" width="2.42578125" style="51" customWidth="1"/>
    <col min="13314" max="13314" width="22.42578125" style="51" customWidth="1"/>
    <col min="13315" max="13316" width="14.7109375" style="51" customWidth="1"/>
    <col min="13317" max="13317" width="15.28515625" style="51" customWidth="1"/>
    <col min="13318" max="13318" width="14" style="51" customWidth="1"/>
    <col min="13319" max="13319" width="12.42578125" style="51" customWidth="1"/>
    <col min="13320" max="13320" width="13.5703125" style="51" customWidth="1"/>
    <col min="13321" max="13321" width="4.7109375" style="51" customWidth="1"/>
    <col min="13322" max="13322" width="8" style="51" customWidth="1"/>
    <col min="13323" max="13568" width="9.140625" style="51"/>
    <col min="13569" max="13569" width="2.42578125" style="51" customWidth="1"/>
    <col min="13570" max="13570" width="22.42578125" style="51" customWidth="1"/>
    <col min="13571" max="13572" width="14.7109375" style="51" customWidth="1"/>
    <col min="13573" max="13573" width="15.28515625" style="51" customWidth="1"/>
    <col min="13574" max="13574" width="14" style="51" customWidth="1"/>
    <col min="13575" max="13575" width="12.42578125" style="51" customWidth="1"/>
    <col min="13576" max="13576" width="13.5703125" style="51" customWidth="1"/>
    <col min="13577" max="13577" width="4.7109375" style="51" customWidth="1"/>
    <col min="13578" max="13578" width="8" style="51" customWidth="1"/>
    <col min="13579" max="13824" width="9.140625" style="51"/>
    <col min="13825" max="13825" width="2.42578125" style="51" customWidth="1"/>
    <col min="13826" max="13826" width="22.42578125" style="51" customWidth="1"/>
    <col min="13827" max="13828" width="14.7109375" style="51" customWidth="1"/>
    <col min="13829" max="13829" width="15.28515625" style="51" customWidth="1"/>
    <col min="13830" max="13830" width="14" style="51" customWidth="1"/>
    <col min="13831" max="13831" width="12.42578125" style="51" customWidth="1"/>
    <col min="13832" max="13832" width="13.5703125" style="51" customWidth="1"/>
    <col min="13833" max="13833" width="4.7109375" style="51" customWidth="1"/>
    <col min="13834" max="13834" width="8" style="51" customWidth="1"/>
    <col min="13835" max="14080" width="9.140625" style="51"/>
    <col min="14081" max="14081" width="2.42578125" style="51" customWidth="1"/>
    <col min="14082" max="14082" width="22.42578125" style="51" customWidth="1"/>
    <col min="14083" max="14084" width="14.7109375" style="51" customWidth="1"/>
    <col min="14085" max="14085" width="15.28515625" style="51" customWidth="1"/>
    <col min="14086" max="14086" width="14" style="51" customWidth="1"/>
    <col min="14087" max="14087" width="12.42578125" style="51" customWidth="1"/>
    <col min="14088" max="14088" width="13.5703125" style="51" customWidth="1"/>
    <col min="14089" max="14089" width="4.7109375" style="51" customWidth="1"/>
    <col min="14090" max="14090" width="8" style="51" customWidth="1"/>
    <col min="14091" max="14336" width="9.140625" style="51"/>
    <col min="14337" max="14337" width="2.42578125" style="51" customWidth="1"/>
    <col min="14338" max="14338" width="22.42578125" style="51" customWidth="1"/>
    <col min="14339" max="14340" width="14.7109375" style="51" customWidth="1"/>
    <col min="14341" max="14341" width="15.28515625" style="51" customWidth="1"/>
    <col min="14342" max="14342" width="14" style="51" customWidth="1"/>
    <col min="14343" max="14343" width="12.42578125" style="51" customWidth="1"/>
    <col min="14344" max="14344" width="13.5703125" style="51" customWidth="1"/>
    <col min="14345" max="14345" width="4.7109375" style="51" customWidth="1"/>
    <col min="14346" max="14346" width="8" style="51" customWidth="1"/>
    <col min="14347" max="14592" width="9.140625" style="51"/>
    <col min="14593" max="14593" width="2.42578125" style="51" customWidth="1"/>
    <col min="14594" max="14594" width="22.42578125" style="51" customWidth="1"/>
    <col min="14595" max="14596" width="14.7109375" style="51" customWidth="1"/>
    <col min="14597" max="14597" width="15.28515625" style="51" customWidth="1"/>
    <col min="14598" max="14598" width="14" style="51" customWidth="1"/>
    <col min="14599" max="14599" width="12.42578125" style="51" customWidth="1"/>
    <col min="14600" max="14600" width="13.5703125" style="51" customWidth="1"/>
    <col min="14601" max="14601" width="4.7109375" style="51" customWidth="1"/>
    <col min="14602" max="14602" width="8" style="51" customWidth="1"/>
    <col min="14603" max="14848" width="9.140625" style="51"/>
    <col min="14849" max="14849" width="2.42578125" style="51" customWidth="1"/>
    <col min="14850" max="14850" width="22.42578125" style="51" customWidth="1"/>
    <col min="14851" max="14852" width="14.7109375" style="51" customWidth="1"/>
    <col min="14853" max="14853" width="15.28515625" style="51" customWidth="1"/>
    <col min="14854" max="14854" width="14" style="51" customWidth="1"/>
    <col min="14855" max="14855" width="12.42578125" style="51" customWidth="1"/>
    <col min="14856" max="14856" width="13.5703125" style="51" customWidth="1"/>
    <col min="14857" max="14857" width="4.7109375" style="51" customWidth="1"/>
    <col min="14858" max="14858" width="8" style="51" customWidth="1"/>
    <col min="14859" max="15104" width="9.140625" style="51"/>
    <col min="15105" max="15105" width="2.42578125" style="51" customWidth="1"/>
    <col min="15106" max="15106" width="22.42578125" style="51" customWidth="1"/>
    <col min="15107" max="15108" width="14.7109375" style="51" customWidth="1"/>
    <col min="15109" max="15109" width="15.28515625" style="51" customWidth="1"/>
    <col min="15110" max="15110" width="14" style="51" customWidth="1"/>
    <col min="15111" max="15111" width="12.42578125" style="51" customWidth="1"/>
    <col min="15112" max="15112" width="13.5703125" style="51" customWidth="1"/>
    <col min="15113" max="15113" width="4.7109375" style="51" customWidth="1"/>
    <col min="15114" max="15114" width="8" style="51" customWidth="1"/>
    <col min="15115" max="15360" width="9.140625" style="51"/>
    <col min="15361" max="15361" width="2.42578125" style="51" customWidth="1"/>
    <col min="15362" max="15362" width="22.42578125" style="51" customWidth="1"/>
    <col min="15363" max="15364" width="14.7109375" style="51" customWidth="1"/>
    <col min="15365" max="15365" width="15.28515625" style="51" customWidth="1"/>
    <col min="15366" max="15366" width="14" style="51" customWidth="1"/>
    <col min="15367" max="15367" width="12.42578125" style="51" customWidth="1"/>
    <col min="15368" max="15368" width="13.5703125" style="51" customWidth="1"/>
    <col min="15369" max="15369" width="4.7109375" style="51" customWidth="1"/>
    <col min="15370" max="15370" width="8" style="51" customWidth="1"/>
    <col min="15371" max="15616" width="9.140625" style="51"/>
    <col min="15617" max="15617" width="2.42578125" style="51" customWidth="1"/>
    <col min="15618" max="15618" width="22.42578125" style="51" customWidth="1"/>
    <col min="15619" max="15620" width="14.7109375" style="51" customWidth="1"/>
    <col min="15621" max="15621" width="15.28515625" style="51" customWidth="1"/>
    <col min="15622" max="15622" width="14" style="51" customWidth="1"/>
    <col min="15623" max="15623" width="12.42578125" style="51" customWidth="1"/>
    <col min="15624" max="15624" width="13.5703125" style="51" customWidth="1"/>
    <col min="15625" max="15625" width="4.7109375" style="51" customWidth="1"/>
    <col min="15626" max="15626" width="8" style="51" customWidth="1"/>
    <col min="15627" max="15872" width="9.140625" style="51"/>
    <col min="15873" max="15873" width="2.42578125" style="51" customWidth="1"/>
    <col min="15874" max="15874" width="22.42578125" style="51" customWidth="1"/>
    <col min="15875" max="15876" width="14.7109375" style="51" customWidth="1"/>
    <col min="15877" max="15877" width="15.28515625" style="51" customWidth="1"/>
    <col min="15878" max="15878" width="14" style="51" customWidth="1"/>
    <col min="15879" max="15879" width="12.42578125" style="51" customWidth="1"/>
    <col min="15880" max="15880" width="13.5703125" style="51" customWidth="1"/>
    <col min="15881" max="15881" width="4.7109375" style="51" customWidth="1"/>
    <col min="15882" max="15882" width="8" style="51" customWidth="1"/>
    <col min="15883" max="16128" width="9.140625" style="51"/>
    <col min="16129" max="16129" width="2.42578125" style="51" customWidth="1"/>
    <col min="16130" max="16130" width="22.42578125" style="51" customWidth="1"/>
    <col min="16131" max="16132" width="14.7109375" style="51" customWidth="1"/>
    <col min="16133" max="16133" width="15.28515625" style="51" customWidth="1"/>
    <col min="16134" max="16134" width="14" style="51" customWidth="1"/>
    <col min="16135" max="16135" width="12.42578125" style="51" customWidth="1"/>
    <col min="16136" max="16136" width="13.5703125" style="51" customWidth="1"/>
    <col min="16137" max="16137" width="4.7109375" style="51" customWidth="1"/>
    <col min="16138" max="16138" width="8" style="51" customWidth="1"/>
    <col min="16139" max="16384" width="9.140625" style="51"/>
  </cols>
  <sheetData>
    <row r="1" spans="1:14" ht="9" customHeight="1" x14ac:dyDescent="0.25">
      <c r="H1" s="48"/>
      <c r="I1" s="48"/>
      <c r="J1" s="49"/>
      <c r="K1" s="50"/>
      <c r="L1" s="50"/>
    </row>
    <row r="2" spans="1:14" s="53" customFormat="1" ht="12.75" x14ac:dyDescent="0.2">
      <c r="A2" s="52"/>
      <c r="B2" s="121" t="s">
        <v>58</v>
      </c>
      <c r="C2" s="121"/>
      <c r="D2" s="121"/>
      <c r="E2" s="121"/>
      <c r="F2" s="121"/>
      <c r="G2" s="121"/>
      <c r="H2" s="121"/>
    </row>
    <row r="3" spans="1:14" ht="12.75" thickBot="1" x14ac:dyDescent="0.25">
      <c r="B3" s="54"/>
      <c r="C3" s="54"/>
      <c r="D3" s="54"/>
      <c r="E3" s="54"/>
      <c r="F3" s="54"/>
      <c r="G3" s="54"/>
      <c r="H3" s="54"/>
    </row>
    <row r="4" spans="1:14" s="56" customFormat="1" ht="12" customHeight="1" x14ac:dyDescent="0.2">
      <c r="A4" s="55"/>
      <c r="B4" s="122" t="s">
        <v>59</v>
      </c>
      <c r="C4" s="125" t="s">
        <v>60</v>
      </c>
      <c r="D4" s="125"/>
      <c r="E4" s="126" t="s">
        <v>61</v>
      </c>
      <c r="F4" s="126"/>
      <c r="G4" s="126"/>
      <c r="H4" s="127"/>
    </row>
    <row r="5" spans="1:14" ht="11.25" customHeight="1" x14ac:dyDescent="0.2">
      <c r="B5" s="123"/>
      <c r="C5" s="128" t="s">
        <v>62</v>
      </c>
      <c r="D5" s="128" t="s">
        <v>63</v>
      </c>
      <c r="E5" s="129" t="s">
        <v>64</v>
      </c>
      <c r="F5" s="129"/>
      <c r="G5" s="129"/>
      <c r="H5" s="130"/>
    </row>
    <row r="6" spans="1:14" ht="11.25" customHeight="1" x14ac:dyDescent="0.2">
      <c r="B6" s="123"/>
      <c r="C6" s="128"/>
      <c r="D6" s="128"/>
      <c r="E6" s="129" t="s">
        <v>65</v>
      </c>
      <c r="F6" s="129"/>
      <c r="G6" s="129"/>
      <c r="H6" s="130"/>
    </row>
    <row r="7" spans="1:14" ht="11.25" customHeight="1" x14ac:dyDescent="0.2">
      <c r="B7" s="123"/>
      <c r="C7" s="128"/>
      <c r="D7" s="128"/>
      <c r="E7" s="129" t="s">
        <v>66</v>
      </c>
      <c r="F7" s="129"/>
      <c r="G7" s="129"/>
      <c r="H7" s="130"/>
    </row>
    <row r="8" spans="1:14" ht="11.25" customHeight="1" x14ac:dyDescent="0.2">
      <c r="B8" s="123"/>
      <c r="C8" s="128"/>
      <c r="D8" s="128"/>
      <c r="E8" s="129" t="s">
        <v>67</v>
      </c>
      <c r="F8" s="129"/>
      <c r="G8" s="129"/>
      <c r="H8" s="130"/>
    </row>
    <row r="9" spans="1:14" ht="12.75" customHeight="1" x14ac:dyDescent="0.2">
      <c r="B9" s="124"/>
      <c r="C9" s="120"/>
      <c r="D9" s="120"/>
      <c r="E9" s="118" t="s">
        <v>68</v>
      </c>
      <c r="F9" s="118"/>
      <c r="G9" s="118" t="s">
        <v>69</v>
      </c>
      <c r="H9" s="119"/>
    </row>
    <row r="10" spans="1:14" ht="12.75" thickBot="1" x14ac:dyDescent="0.25">
      <c r="B10" s="57"/>
      <c r="C10" s="120" t="s">
        <v>5</v>
      </c>
      <c r="D10" s="120"/>
      <c r="E10" s="58" t="s">
        <v>5</v>
      </c>
      <c r="F10" s="58" t="s">
        <v>70</v>
      </c>
      <c r="G10" s="58" t="s">
        <v>5</v>
      </c>
      <c r="H10" s="59" t="s">
        <v>6</v>
      </c>
      <c r="N10" s="60"/>
    </row>
    <row r="11" spans="1:14" x14ac:dyDescent="0.2">
      <c r="B11" s="61" t="s">
        <v>40</v>
      </c>
      <c r="C11" s="62">
        <v>31</v>
      </c>
      <c r="D11" s="62">
        <v>29</v>
      </c>
      <c r="E11" s="62">
        <v>20</v>
      </c>
      <c r="F11" s="62">
        <v>160</v>
      </c>
      <c r="G11" s="62">
        <v>24</v>
      </c>
      <c r="H11" s="63">
        <v>160</v>
      </c>
    </row>
    <row r="12" spans="1:14" x14ac:dyDescent="0.2">
      <c r="B12" s="64" t="s">
        <v>41</v>
      </c>
      <c r="C12" s="65">
        <v>28</v>
      </c>
      <c r="D12" s="65">
        <v>28</v>
      </c>
      <c r="E12" s="65">
        <v>20</v>
      </c>
      <c r="F12" s="65">
        <v>160</v>
      </c>
      <c r="G12" s="65">
        <v>24</v>
      </c>
      <c r="H12" s="66">
        <v>160</v>
      </c>
    </row>
    <row r="13" spans="1:14" ht="12.75" thickBot="1" x14ac:dyDescent="0.25">
      <c r="B13" s="67" t="s">
        <v>71</v>
      </c>
      <c r="C13" s="68">
        <v>31</v>
      </c>
      <c r="D13" s="68">
        <v>27</v>
      </c>
      <c r="E13" s="68">
        <v>17</v>
      </c>
      <c r="F13" s="68">
        <v>136</v>
      </c>
      <c r="G13" s="68">
        <v>22</v>
      </c>
      <c r="H13" s="69">
        <v>146</v>
      </c>
    </row>
    <row r="14" spans="1:14" ht="12.75" thickBot="1" x14ac:dyDescent="0.25">
      <c r="B14" s="70" t="s">
        <v>72</v>
      </c>
      <c r="C14" s="71">
        <v>90</v>
      </c>
      <c r="D14" s="71">
        <v>84</v>
      </c>
      <c r="E14" s="71">
        <v>57</v>
      </c>
      <c r="F14" s="71">
        <v>456</v>
      </c>
      <c r="G14" s="71">
        <v>70</v>
      </c>
      <c r="H14" s="72">
        <v>466</v>
      </c>
    </row>
    <row r="15" spans="1:14" x14ac:dyDescent="0.2">
      <c r="B15" s="61" t="s">
        <v>43</v>
      </c>
      <c r="C15" s="62">
        <v>30</v>
      </c>
      <c r="D15" s="62">
        <v>30</v>
      </c>
      <c r="E15" s="62">
        <v>22</v>
      </c>
      <c r="F15" s="62">
        <v>176</v>
      </c>
      <c r="G15" s="62">
        <v>26</v>
      </c>
      <c r="H15" s="63">
        <v>174</v>
      </c>
    </row>
    <row r="16" spans="1:14" x14ac:dyDescent="0.2">
      <c r="B16" s="64" t="s">
        <v>44</v>
      </c>
      <c r="C16" s="65">
        <v>31</v>
      </c>
      <c r="D16" s="65">
        <v>28</v>
      </c>
      <c r="E16" s="65">
        <v>20</v>
      </c>
      <c r="F16" s="65">
        <v>160</v>
      </c>
      <c r="G16" s="65">
        <v>24</v>
      </c>
      <c r="H16" s="66">
        <v>160</v>
      </c>
    </row>
    <row r="17" spans="1:8" ht="12.75" thickBot="1" x14ac:dyDescent="0.25">
      <c r="B17" s="67" t="s">
        <v>45</v>
      </c>
      <c r="C17" s="68">
        <v>30</v>
      </c>
      <c r="D17" s="68">
        <v>30</v>
      </c>
      <c r="E17" s="68">
        <v>20</v>
      </c>
      <c r="F17" s="68">
        <v>160</v>
      </c>
      <c r="G17" s="68">
        <v>25</v>
      </c>
      <c r="H17" s="69">
        <v>165</v>
      </c>
    </row>
    <row r="18" spans="1:8" x14ac:dyDescent="0.2">
      <c r="B18" s="73" t="s">
        <v>73</v>
      </c>
      <c r="C18" s="74">
        <v>91</v>
      </c>
      <c r="D18" s="74">
        <v>88</v>
      </c>
      <c r="E18" s="74">
        <v>62</v>
      </c>
      <c r="F18" s="74">
        <v>496</v>
      </c>
      <c r="G18" s="74">
        <v>75</v>
      </c>
      <c r="H18" s="75">
        <v>499</v>
      </c>
    </row>
    <row r="19" spans="1:8" ht="12.75" thickBot="1" x14ac:dyDescent="0.25">
      <c r="B19" s="76" t="s">
        <v>74</v>
      </c>
      <c r="C19" s="77">
        <v>181</v>
      </c>
      <c r="D19" s="77">
        <v>172</v>
      </c>
      <c r="E19" s="77">
        <v>119</v>
      </c>
      <c r="F19" s="77">
        <v>952</v>
      </c>
      <c r="G19" s="77">
        <v>145</v>
      </c>
      <c r="H19" s="78">
        <v>965</v>
      </c>
    </row>
    <row r="20" spans="1:8" x14ac:dyDescent="0.2">
      <c r="B20" s="61" t="s">
        <v>75</v>
      </c>
      <c r="C20" s="62">
        <v>31</v>
      </c>
      <c r="D20" s="62">
        <v>30</v>
      </c>
      <c r="E20" s="62">
        <v>22</v>
      </c>
      <c r="F20" s="62">
        <v>176</v>
      </c>
      <c r="G20" s="62">
        <v>26</v>
      </c>
      <c r="H20" s="63">
        <v>176</v>
      </c>
    </row>
    <row r="21" spans="1:8" x14ac:dyDescent="0.2">
      <c r="B21" s="64" t="s">
        <v>47</v>
      </c>
      <c r="C21" s="65">
        <v>31</v>
      </c>
      <c r="D21" s="65">
        <v>30</v>
      </c>
      <c r="E21" s="65">
        <v>21</v>
      </c>
      <c r="F21" s="65">
        <v>168</v>
      </c>
      <c r="G21" s="65">
        <v>26</v>
      </c>
      <c r="H21" s="66">
        <v>172</v>
      </c>
    </row>
    <row r="22" spans="1:8" ht="12.75" thickBot="1" x14ac:dyDescent="0.25">
      <c r="B22" s="67" t="s">
        <v>48</v>
      </c>
      <c r="C22" s="68">
        <v>30</v>
      </c>
      <c r="D22" s="68">
        <v>30</v>
      </c>
      <c r="E22" s="68">
        <v>21</v>
      </c>
      <c r="F22" s="68">
        <v>168</v>
      </c>
      <c r="G22" s="68">
        <v>25</v>
      </c>
      <c r="H22" s="69">
        <v>167</v>
      </c>
    </row>
    <row r="23" spans="1:8" x14ac:dyDescent="0.2">
      <c r="B23" s="73" t="s">
        <v>76</v>
      </c>
      <c r="C23" s="74">
        <v>92</v>
      </c>
      <c r="D23" s="74">
        <v>90</v>
      </c>
      <c r="E23" s="74">
        <v>64</v>
      </c>
      <c r="F23" s="74">
        <v>512</v>
      </c>
      <c r="G23" s="74">
        <v>77</v>
      </c>
      <c r="H23" s="75">
        <v>515</v>
      </c>
    </row>
    <row r="24" spans="1:8" ht="12.75" thickBot="1" x14ac:dyDescent="0.25">
      <c r="B24" s="76" t="s">
        <v>77</v>
      </c>
      <c r="C24" s="77">
        <v>273</v>
      </c>
      <c r="D24" s="77">
        <v>262</v>
      </c>
      <c r="E24" s="77">
        <v>183</v>
      </c>
      <c r="F24" s="77">
        <v>1464</v>
      </c>
      <c r="G24" s="77">
        <v>222</v>
      </c>
      <c r="H24" s="78">
        <v>1480</v>
      </c>
    </row>
    <row r="25" spans="1:8" x14ac:dyDescent="0.2">
      <c r="B25" s="61" t="s">
        <v>49</v>
      </c>
      <c r="C25" s="62">
        <v>31</v>
      </c>
      <c r="D25" s="62">
        <v>31</v>
      </c>
      <c r="E25" s="62">
        <v>23</v>
      </c>
      <c r="F25" s="62">
        <v>184</v>
      </c>
      <c r="G25" s="62">
        <v>27</v>
      </c>
      <c r="H25" s="63">
        <v>181</v>
      </c>
    </row>
    <row r="26" spans="1:8" x14ac:dyDescent="0.2">
      <c r="B26" s="64" t="s">
        <v>50</v>
      </c>
      <c r="C26" s="65">
        <v>30</v>
      </c>
      <c r="D26" s="65">
        <v>30</v>
      </c>
      <c r="E26" s="65">
        <v>21</v>
      </c>
      <c r="F26" s="65">
        <v>168</v>
      </c>
      <c r="G26" s="65">
        <v>26</v>
      </c>
      <c r="H26" s="66">
        <v>172</v>
      </c>
    </row>
    <row r="27" spans="1:8" ht="12.75" thickBot="1" x14ac:dyDescent="0.25">
      <c r="B27" s="67" t="s">
        <v>78</v>
      </c>
      <c r="C27" s="68">
        <v>31</v>
      </c>
      <c r="D27" s="68">
        <v>28</v>
      </c>
      <c r="E27" s="68">
        <v>19</v>
      </c>
      <c r="F27" s="68">
        <v>152</v>
      </c>
      <c r="G27" s="68">
        <v>23</v>
      </c>
      <c r="H27" s="69">
        <v>153</v>
      </c>
    </row>
    <row r="28" spans="1:8" x14ac:dyDescent="0.2">
      <c r="B28" s="73" t="s">
        <v>79</v>
      </c>
      <c r="C28" s="74">
        <v>92</v>
      </c>
      <c r="D28" s="74">
        <v>89</v>
      </c>
      <c r="E28" s="74">
        <v>63</v>
      </c>
      <c r="F28" s="74">
        <v>504</v>
      </c>
      <c r="G28" s="74">
        <v>76</v>
      </c>
      <c r="H28" s="75">
        <v>506</v>
      </c>
    </row>
    <row r="29" spans="1:8" x14ac:dyDescent="0.2">
      <c r="B29" s="79" t="s">
        <v>80</v>
      </c>
      <c r="C29" s="80">
        <v>365</v>
      </c>
      <c r="D29" s="80">
        <v>351</v>
      </c>
      <c r="E29" s="80">
        <v>246</v>
      </c>
      <c r="F29" s="80">
        <v>1968</v>
      </c>
      <c r="G29" s="80">
        <v>298</v>
      </c>
      <c r="H29" s="81">
        <v>1986</v>
      </c>
    </row>
    <row r="30" spans="1:8" s="88" customFormat="1" ht="12.75" thickBot="1" x14ac:dyDescent="0.25">
      <c r="A30" s="82"/>
      <c r="B30" s="83" t="s">
        <v>81</v>
      </c>
      <c r="C30" s="84"/>
      <c r="D30" s="85">
        <v>29.25</v>
      </c>
      <c r="E30" s="85">
        <v>20.5</v>
      </c>
      <c r="F30" s="86">
        <v>164</v>
      </c>
      <c r="G30" s="85">
        <v>24.83</v>
      </c>
      <c r="H30" s="87">
        <v>165.5</v>
      </c>
    </row>
    <row r="31" spans="1:8" x14ac:dyDescent="0.2">
      <c r="B31" s="89"/>
      <c r="C31" s="90"/>
      <c r="D31" s="90"/>
      <c r="E31" s="90"/>
      <c r="F31" s="90"/>
      <c r="G31" s="90"/>
      <c r="H31" s="90"/>
    </row>
    <row r="35" spans="8:12" x14ac:dyDescent="0.2">
      <c r="H35" s="91"/>
      <c r="I35" s="49"/>
      <c r="J35" s="92"/>
      <c r="K35" s="49"/>
      <c r="L35" s="50"/>
    </row>
    <row r="36" spans="8:12" x14ac:dyDescent="0.2">
      <c r="H36" s="49"/>
      <c r="I36" s="49"/>
      <c r="J36" s="92"/>
      <c r="K36" s="49"/>
      <c r="L36" s="50"/>
    </row>
  </sheetData>
  <sheetProtection formatCells="0" formatColumns="0" formatRows="0" insertColumns="0" insertRows="0" insertHyperlinks="0" deleteColumns="0" deleteRows="0" sort="0" autoFilter="0" pivotTables="0"/>
  <protectedRanges>
    <protectedRange sqref="I35" name="Диапазон1_1_1"/>
  </protectedRanges>
  <mergeCells count="13">
    <mergeCell ref="E9:F9"/>
    <mergeCell ref="G9:H9"/>
    <mergeCell ref="C10:D10"/>
    <mergeCell ref="B2:H2"/>
    <mergeCell ref="B4:B9"/>
    <mergeCell ref="C4:D4"/>
    <mergeCell ref="E4:H4"/>
    <mergeCell ref="C5:C9"/>
    <mergeCell ref="D5:D9"/>
    <mergeCell ref="E5:H5"/>
    <mergeCell ref="E6:H6"/>
    <mergeCell ref="E7:H7"/>
    <mergeCell ref="E8:H8"/>
  </mergeCells>
  <pageMargins left="0.24" right="0.16" top="0.98425196850393704" bottom="0.98425196850393704" header="0.51181102362204722" footer="0.51181102362204722"/>
  <pageSetup paperSize="9" firstPageNumber="0" orientation="landscape" horizontalDpi="300" verticalDpi="300" r:id="rId1"/>
  <headerFooter alignWithMargins="0">
    <oddFooter xml:space="preserve">&amp;CБаланс рабочего времени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workbookViewId="0">
      <selection activeCell="AI16" sqref="AI16"/>
    </sheetView>
  </sheetViews>
  <sheetFormatPr defaultRowHeight="30" customHeight="1" x14ac:dyDescent="0.25"/>
  <cols>
    <col min="1" max="1" width="3" style="2" customWidth="1"/>
    <col min="2" max="2" width="13.85546875" style="2" customWidth="1"/>
    <col min="3" max="33" width="4.7109375" style="2" customWidth="1"/>
    <col min="34" max="34" width="3" style="3" customWidth="1"/>
    <col min="35" max="16384" width="9.140625" style="3"/>
  </cols>
  <sheetData>
    <row r="1" spans="1:33" ht="45.75" customHeight="1" x14ac:dyDescent="0.25">
      <c r="A1" s="131">
        <f ca="1">YEAR(TODAY())</f>
        <v>2019</v>
      </c>
      <c r="B1" s="131"/>
      <c r="C1" s="131"/>
      <c r="D1" s="131"/>
      <c r="E1" s="131"/>
      <c r="F1" s="131"/>
      <c r="G1" s="1"/>
    </row>
    <row r="2" spans="1:33" ht="30" customHeight="1" x14ac:dyDescent="0.25">
      <c r="A2" s="3"/>
      <c r="B2" s="3"/>
      <c r="C2" s="3"/>
      <c r="D2" s="3"/>
      <c r="E2" s="3"/>
      <c r="F2" s="3"/>
    </row>
    <row r="3" spans="1:33" ht="30" customHeight="1" x14ac:dyDescent="0.25">
      <c r="A3" s="3"/>
      <c r="B3" s="4" t="str">
        <f ca="1">UPPER(TEXT(C3,"ММММ"))</f>
        <v>ЯНВАРЬ</v>
      </c>
      <c r="C3" s="5">
        <f t="array" aca="1" ref="C3:AG3" ca="1">DaysAndWeeks+DATE(CalendarYear,1,1)</f>
        <v>43466</v>
      </c>
      <c r="D3" s="5">
        <f ca="1"/>
        <v>43467</v>
      </c>
      <c r="E3" s="5">
        <f ca="1"/>
        <v>43468</v>
      </c>
      <c r="F3" s="5">
        <f ca="1"/>
        <v>43469</v>
      </c>
      <c r="G3" s="5">
        <f ca="1"/>
        <v>43470</v>
      </c>
      <c r="H3" s="5">
        <f ca="1"/>
        <v>43471</v>
      </c>
      <c r="I3" s="5">
        <f ca="1"/>
        <v>43472</v>
      </c>
      <c r="J3" s="5">
        <f ca="1"/>
        <v>43473</v>
      </c>
      <c r="K3" s="5">
        <f ca="1"/>
        <v>43474</v>
      </c>
      <c r="L3" s="5">
        <f ca="1"/>
        <v>43475</v>
      </c>
      <c r="M3" s="5">
        <f ca="1"/>
        <v>43476</v>
      </c>
      <c r="N3" s="5">
        <f ca="1"/>
        <v>43477</v>
      </c>
      <c r="O3" s="5">
        <f ca="1"/>
        <v>43478</v>
      </c>
      <c r="P3" s="5">
        <f ca="1"/>
        <v>43479</v>
      </c>
      <c r="Q3" s="5">
        <f ca="1"/>
        <v>43480</v>
      </c>
      <c r="R3" s="5">
        <f ca="1"/>
        <v>43481</v>
      </c>
      <c r="S3" s="5">
        <f ca="1"/>
        <v>43482</v>
      </c>
      <c r="T3" s="5">
        <f ca="1"/>
        <v>43483</v>
      </c>
      <c r="U3" s="5">
        <f ca="1"/>
        <v>43484</v>
      </c>
      <c r="V3" s="5">
        <f ca="1"/>
        <v>43485</v>
      </c>
      <c r="W3" s="5">
        <f ca="1"/>
        <v>43486</v>
      </c>
      <c r="X3" s="5">
        <f ca="1"/>
        <v>43487</v>
      </c>
      <c r="Y3" s="5">
        <f ca="1"/>
        <v>43488</v>
      </c>
      <c r="Z3" s="5">
        <f ca="1"/>
        <v>43489</v>
      </c>
      <c r="AA3" s="5">
        <f ca="1"/>
        <v>43490</v>
      </c>
      <c r="AB3" s="5">
        <f ca="1"/>
        <v>43491</v>
      </c>
      <c r="AC3" s="5">
        <f ca="1"/>
        <v>43492</v>
      </c>
      <c r="AD3" s="5">
        <f ca="1"/>
        <v>43493</v>
      </c>
      <c r="AE3" s="5">
        <f ca="1"/>
        <v>43494</v>
      </c>
      <c r="AF3" s="5">
        <f ca="1"/>
        <v>43495</v>
      </c>
      <c r="AG3" s="5">
        <f ca="1"/>
        <v>43496</v>
      </c>
    </row>
    <row r="4" spans="1:33" ht="30" customHeight="1" x14ac:dyDescent="0.25">
      <c r="A4" s="3"/>
      <c r="B4" s="4" t="str">
        <f ca="1">UPPER(TEXT(C4,"ММММ"))</f>
        <v>ФЕВРАЛЬ</v>
      </c>
      <c r="C4" s="5">
        <f t="array" aca="1" ref="C4:AE4" ca="1">DaysAndWeeks+DATE(CalendarYear,2,1)</f>
        <v>43497</v>
      </c>
      <c r="D4" s="5">
        <f ca="1"/>
        <v>43498</v>
      </c>
      <c r="E4" s="5">
        <f ca="1"/>
        <v>43499</v>
      </c>
      <c r="F4" s="5">
        <f ca="1"/>
        <v>43500</v>
      </c>
      <c r="G4" s="5">
        <f ca="1"/>
        <v>43501</v>
      </c>
      <c r="H4" s="5">
        <f ca="1"/>
        <v>43502</v>
      </c>
      <c r="I4" s="5">
        <f ca="1"/>
        <v>43503</v>
      </c>
      <c r="J4" s="5">
        <f ca="1"/>
        <v>43504</v>
      </c>
      <c r="K4" s="5">
        <f ca="1"/>
        <v>43505</v>
      </c>
      <c r="L4" s="5">
        <f ca="1"/>
        <v>43506</v>
      </c>
      <c r="M4" s="5">
        <f ca="1"/>
        <v>43507</v>
      </c>
      <c r="N4" s="5">
        <f ca="1"/>
        <v>43508</v>
      </c>
      <c r="O4" s="5">
        <f ca="1"/>
        <v>43509</v>
      </c>
      <c r="P4" s="5">
        <f ca="1"/>
        <v>43510</v>
      </c>
      <c r="Q4" s="5">
        <f ca="1"/>
        <v>43511</v>
      </c>
      <c r="R4" s="5">
        <f ca="1"/>
        <v>43512</v>
      </c>
      <c r="S4" s="5">
        <f ca="1"/>
        <v>43513</v>
      </c>
      <c r="T4" s="5">
        <f ca="1"/>
        <v>43514</v>
      </c>
      <c r="U4" s="5">
        <f ca="1"/>
        <v>43515</v>
      </c>
      <c r="V4" s="5">
        <f ca="1"/>
        <v>43516</v>
      </c>
      <c r="W4" s="5">
        <f ca="1"/>
        <v>43517</v>
      </c>
      <c r="X4" s="5">
        <f ca="1"/>
        <v>43518</v>
      </c>
      <c r="Y4" s="5">
        <f ca="1"/>
        <v>43519</v>
      </c>
      <c r="Z4" s="5">
        <f ca="1"/>
        <v>43520</v>
      </c>
      <c r="AA4" s="5">
        <f ca="1"/>
        <v>43521</v>
      </c>
      <c r="AB4" s="5">
        <f ca="1"/>
        <v>43522</v>
      </c>
      <c r="AC4" s="5">
        <f ca="1"/>
        <v>43523</v>
      </c>
      <c r="AD4" s="5">
        <f ca="1"/>
        <v>43524</v>
      </c>
      <c r="AE4" s="5">
        <f ca="1"/>
        <v>43525</v>
      </c>
      <c r="AF4" s="6"/>
      <c r="AG4" s="6"/>
    </row>
    <row r="5" spans="1:33" ht="30" customHeight="1" x14ac:dyDescent="0.25">
      <c r="A5" s="3"/>
      <c r="B5" s="4" t="str">
        <f ca="1">UPPER(TEXT(C5,"ММММ"))</f>
        <v>МАРТ</v>
      </c>
      <c r="C5" s="5">
        <f t="array" aca="1" ref="C5:AG5" ca="1">DaysAndWeeks+DATE(CalendarYear,3,1)</f>
        <v>43525</v>
      </c>
      <c r="D5" s="5">
        <f ca="1"/>
        <v>43526</v>
      </c>
      <c r="E5" s="5">
        <f ca="1"/>
        <v>43527</v>
      </c>
      <c r="F5" s="5">
        <f ca="1"/>
        <v>43528</v>
      </c>
      <c r="G5" s="5">
        <f ca="1"/>
        <v>43529</v>
      </c>
      <c r="H5" s="5">
        <f ca="1"/>
        <v>43530</v>
      </c>
      <c r="I5" s="5">
        <f ca="1"/>
        <v>43531</v>
      </c>
      <c r="J5" s="5">
        <f ca="1"/>
        <v>43532</v>
      </c>
      <c r="K5" s="5">
        <f ca="1"/>
        <v>43533</v>
      </c>
      <c r="L5" s="5">
        <f ca="1"/>
        <v>43534</v>
      </c>
      <c r="M5" s="5">
        <f ca="1"/>
        <v>43535</v>
      </c>
      <c r="N5" s="5">
        <f ca="1"/>
        <v>43536</v>
      </c>
      <c r="O5" s="5">
        <f ca="1"/>
        <v>43537</v>
      </c>
      <c r="P5" s="5">
        <f ca="1"/>
        <v>43538</v>
      </c>
      <c r="Q5" s="5">
        <f ca="1"/>
        <v>43539</v>
      </c>
      <c r="R5" s="5">
        <f ca="1"/>
        <v>43540</v>
      </c>
      <c r="S5" s="5">
        <f ca="1"/>
        <v>43541</v>
      </c>
      <c r="T5" s="5">
        <f ca="1"/>
        <v>43542</v>
      </c>
      <c r="U5" s="5">
        <f ca="1"/>
        <v>43543</v>
      </c>
      <c r="V5" s="5">
        <f ca="1"/>
        <v>43544</v>
      </c>
      <c r="W5" s="5">
        <f ca="1"/>
        <v>43545</v>
      </c>
      <c r="X5" s="5">
        <f ca="1"/>
        <v>43546</v>
      </c>
      <c r="Y5" s="5">
        <f ca="1"/>
        <v>43547</v>
      </c>
      <c r="Z5" s="5">
        <f ca="1"/>
        <v>43548</v>
      </c>
      <c r="AA5" s="5">
        <f ca="1"/>
        <v>43549</v>
      </c>
      <c r="AB5" s="5">
        <f ca="1"/>
        <v>43550</v>
      </c>
      <c r="AC5" s="5">
        <f ca="1"/>
        <v>43551</v>
      </c>
      <c r="AD5" s="5">
        <f ca="1"/>
        <v>43552</v>
      </c>
      <c r="AE5" s="5">
        <f ca="1"/>
        <v>43553</v>
      </c>
      <c r="AF5" s="5">
        <f ca="1"/>
        <v>43554</v>
      </c>
      <c r="AG5" s="5">
        <f ca="1"/>
        <v>43555</v>
      </c>
    </row>
    <row r="6" spans="1:33" ht="30" customHeight="1" x14ac:dyDescent="0.25">
      <c r="A6" s="3"/>
      <c r="B6" s="4" t="str">
        <f t="shared" ref="B6:B14" ca="1" si="0">UPPER(TEXT(C6,"ММММ"))</f>
        <v>АПРЕЛЬ</v>
      </c>
      <c r="C6" s="5">
        <f t="array" aca="1" ref="C6:AF6" ca="1">DaysAndWeeks+DATE(CalendarYear,4,1)</f>
        <v>43556</v>
      </c>
      <c r="D6" s="5">
        <f ca="1"/>
        <v>43557</v>
      </c>
      <c r="E6" s="5">
        <f ca="1"/>
        <v>43558</v>
      </c>
      <c r="F6" s="5">
        <f ca="1"/>
        <v>43559</v>
      </c>
      <c r="G6" s="5">
        <f ca="1"/>
        <v>43560</v>
      </c>
      <c r="H6" s="5">
        <f ca="1"/>
        <v>43561</v>
      </c>
      <c r="I6" s="5">
        <f ca="1"/>
        <v>43562</v>
      </c>
      <c r="J6" s="5">
        <f ca="1"/>
        <v>43563</v>
      </c>
      <c r="K6" s="5">
        <f ca="1"/>
        <v>43564</v>
      </c>
      <c r="L6" s="5">
        <f ca="1"/>
        <v>43565</v>
      </c>
      <c r="M6" s="5">
        <f ca="1"/>
        <v>43566</v>
      </c>
      <c r="N6" s="5">
        <f ca="1"/>
        <v>43567</v>
      </c>
      <c r="O6" s="5">
        <f ca="1"/>
        <v>43568</v>
      </c>
      <c r="P6" s="5">
        <f ca="1"/>
        <v>43569</v>
      </c>
      <c r="Q6" s="5">
        <f ca="1"/>
        <v>43570</v>
      </c>
      <c r="R6" s="5">
        <f ca="1"/>
        <v>43571</v>
      </c>
      <c r="S6" s="5">
        <f ca="1"/>
        <v>43572</v>
      </c>
      <c r="T6" s="5">
        <f ca="1"/>
        <v>43573</v>
      </c>
      <c r="U6" s="5">
        <f ca="1"/>
        <v>43574</v>
      </c>
      <c r="V6" s="5">
        <f ca="1"/>
        <v>43575</v>
      </c>
      <c r="W6" s="5">
        <f ca="1"/>
        <v>43576</v>
      </c>
      <c r="X6" s="5">
        <f ca="1"/>
        <v>43577</v>
      </c>
      <c r="Y6" s="5">
        <f ca="1"/>
        <v>43578</v>
      </c>
      <c r="Z6" s="5">
        <f ca="1"/>
        <v>43579</v>
      </c>
      <c r="AA6" s="5">
        <f ca="1"/>
        <v>43580</v>
      </c>
      <c r="AB6" s="5">
        <f ca="1"/>
        <v>43581</v>
      </c>
      <c r="AC6" s="5">
        <f ca="1"/>
        <v>43582</v>
      </c>
      <c r="AD6" s="5">
        <f ca="1"/>
        <v>43583</v>
      </c>
      <c r="AE6" s="5">
        <f ca="1"/>
        <v>43584</v>
      </c>
      <c r="AF6" s="5">
        <f ca="1"/>
        <v>43585</v>
      </c>
      <c r="AG6" s="6"/>
    </row>
    <row r="7" spans="1:33" ht="30" customHeight="1" x14ac:dyDescent="0.25">
      <c r="A7" s="3"/>
      <c r="B7" s="4" t="str">
        <f t="shared" ca="1" si="0"/>
        <v>МАЙ</v>
      </c>
      <c r="C7" s="5">
        <f t="array" aca="1" ref="C7:AG7" ca="1">DaysAndWeeks+DATE(CalendarYear,5,1)</f>
        <v>43586</v>
      </c>
      <c r="D7" s="5">
        <f ca="1"/>
        <v>43587</v>
      </c>
      <c r="E7" s="5">
        <f ca="1"/>
        <v>43588</v>
      </c>
      <c r="F7" s="5">
        <f ca="1"/>
        <v>43589</v>
      </c>
      <c r="G7" s="5">
        <f ca="1"/>
        <v>43590</v>
      </c>
      <c r="H7" s="5">
        <f ca="1"/>
        <v>43591</v>
      </c>
      <c r="I7" s="5">
        <f ca="1"/>
        <v>43592</v>
      </c>
      <c r="J7" s="5">
        <f ca="1"/>
        <v>43593</v>
      </c>
      <c r="K7" s="5">
        <f ca="1"/>
        <v>43594</v>
      </c>
      <c r="L7" s="5">
        <f ca="1"/>
        <v>43595</v>
      </c>
      <c r="M7" s="5">
        <f ca="1"/>
        <v>43596</v>
      </c>
      <c r="N7" s="5">
        <f ca="1"/>
        <v>43597</v>
      </c>
      <c r="O7" s="5">
        <f ca="1"/>
        <v>43598</v>
      </c>
      <c r="P7" s="5">
        <f ca="1"/>
        <v>43599</v>
      </c>
      <c r="Q7" s="5">
        <f ca="1"/>
        <v>43600</v>
      </c>
      <c r="R7" s="5">
        <f ca="1"/>
        <v>43601</v>
      </c>
      <c r="S7" s="5">
        <f ca="1"/>
        <v>43602</v>
      </c>
      <c r="T7" s="5">
        <f ca="1"/>
        <v>43603</v>
      </c>
      <c r="U7" s="5">
        <f ca="1"/>
        <v>43604</v>
      </c>
      <c r="V7" s="5">
        <f ca="1"/>
        <v>43605</v>
      </c>
      <c r="W7" s="5">
        <f ca="1"/>
        <v>43606</v>
      </c>
      <c r="X7" s="5">
        <f ca="1"/>
        <v>43607</v>
      </c>
      <c r="Y7" s="5">
        <f ca="1"/>
        <v>43608</v>
      </c>
      <c r="Z7" s="5">
        <f ca="1"/>
        <v>43609</v>
      </c>
      <c r="AA7" s="5">
        <f ca="1"/>
        <v>43610</v>
      </c>
      <c r="AB7" s="5">
        <f ca="1"/>
        <v>43611</v>
      </c>
      <c r="AC7" s="5">
        <f ca="1"/>
        <v>43612</v>
      </c>
      <c r="AD7" s="5">
        <f ca="1"/>
        <v>43613</v>
      </c>
      <c r="AE7" s="5">
        <f ca="1"/>
        <v>43614</v>
      </c>
      <c r="AF7" s="5">
        <f ca="1"/>
        <v>43615</v>
      </c>
      <c r="AG7" s="5">
        <f ca="1"/>
        <v>43616</v>
      </c>
    </row>
    <row r="8" spans="1:33" ht="30" customHeight="1" x14ac:dyDescent="0.25">
      <c r="A8" s="3"/>
      <c r="B8" s="4" t="str">
        <f t="shared" ca="1" si="0"/>
        <v>ИЮНЬ</v>
      </c>
      <c r="C8" s="5">
        <f t="array" aca="1" ref="C8:AF8" ca="1">DaysAndWeeks+DATE(CalendarYear,6,1)</f>
        <v>43617</v>
      </c>
      <c r="D8" s="5">
        <f ca="1"/>
        <v>43618</v>
      </c>
      <c r="E8" s="5">
        <f ca="1"/>
        <v>43619</v>
      </c>
      <c r="F8" s="5">
        <f ca="1"/>
        <v>43620</v>
      </c>
      <c r="G8" s="5">
        <f ca="1"/>
        <v>43621</v>
      </c>
      <c r="H8" s="5">
        <f ca="1"/>
        <v>43622</v>
      </c>
      <c r="I8" s="5">
        <f ca="1"/>
        <v>43623</v>
      </c>
      <c r="J8" s="5">
        <f ca="1"/>
        <v>43624</v>
      </c>
      <c r="K8" s="5">
        <f ca="1"/>
        <v>43625</v>
      </c>
      <c r="L8" s="5">
        <f ca="1"/>
        <v>43626</v>
      </c>
      <c r="M8" s="5">
        <f ca="1"/>
        <v>43627</v>
      </c>
      <c r="N8" s="5">
        <f ca="1"/>
        <v>43628</v>
      </c>
      <c r="O8" s="5">
        <f ca="1"/>
        <v>43629</v>
      </c>
      <c r="P8" s="5">
        <f ca="1"/>
        <v>43630</v>
      </c>
      <c r="Q8" s="5">
        <f ca="1"/>
        <v>43631</v>
      </c>
      <c r="R8" s="5">
        <f ca="1"/>
        <v>43632</v>
      </c>
      <c r="S8" s="5">
        <f ca="1"/>
        <v>43633</v>
      </c>
      <c r="T8" s="5">
        <f ca="1"/>
        <v>43634</v>
      </c>
      <c r="U8" s="5">
        <f ca="1"/>
        <v>43635</v>
      </c>
      <c r="V8" s="5">
        <f ca="1"/>
        <v>43636</v>
      </c>
      <c r="W8" s="5">
        <f ca="1"/>
        <v>43637</v>
      </c>
      <c r="X8" s="5">
        <f ca="1"/>
        <v>43638</v>
      </c>
      <c r="Y8" s="5">
        <f ca="1"/>
        <v>43639</v>
      </c>
      <c r="Z8" s="5">
        <f ca="1"/>
        <v>43640</v>
      </c>
      <c r="AA8" s="5">
        <f ca="1"/>
        <v>43641</v>
      </c>
      <c r="AB8" s="5">
        <f ca="1"/>
        <v>43642</v>
      </c>
      <c r="AC8" s="5">
        <f ca="1"/>
        <v>43643</v>
      </c>
      <c r="AD8" s="5">
        <f ca="1"/>
        <v>43644</v>
      </c>
      <c r="AE8" s="5">
        <f ca="1"/>
        <v>43645</v>
      </c>
      <c r="AF8" s="5">
        <f ca="1"/>
        <v>43646</v>
      </c>
      <c r="AG8" s="6"/>
    </row>
    <row r="9" spans="1:33" ht="30" customHeight="1" x14ac:dyDescent="0.25">
      <c r="A9" s="3"/>
      <c r="B9" s="4" t="str">
        <f t="shared" ca="1" si="0"/>
        <v>ИЮЛЬ</v>
      </c>
      <c r="C9" s="5">
        <f t="array" aca="1" ref="C9:AG9" ca="1">DaysAndWeeks+DATE(CalendarYear,7,1)</f>
        <v>43647</v>
      </c>
      <c r="D9" s="5">
        <f ca="1"/>
        <v>43648</v>
      </c>
      <c r="E9" s="5">
        <f ca="1"/>
        <v>43649</v>
      </c>
      <c r="F9" s="5">
        <f ca="1"/>
        <v>43650</v>
      </c>
      <c r="G9" s="5">
        <f ca="1"/>
        <v>43651</v>
      </c>
      <c r="H9" s="5">
        <f ca="1"/>
        <v>43652</v>
      </c>
      <c r="I9" s="5">
        <f ca="1"/>
        <v>43653</v>
      </c>
      <c r="J9" s="5">
        <f ca="1"/>
        <v>43654</v>
      </c>
      <c r="K9" s="5">
        <f ca="1"/>
        <v>43655</v>
      </c>
      <c r="L9" s="5">
        <f ca="1"/>
        <v>43656</v>
      </c>
      <c r="M9" s="5">
        <f ca="1"/>
        <v>43657</v>
      </c>
      <c r="N9" s="5">
        <f ca="1"/>
        <v>43658</v>
      </c>
      <c r="O9" s="5">
        <f ca="1"/>
        <v>43659</v>
      </c>
      <c r="P9" s="5">
        <f ca="1"/>
        <v>43660</v>
      </c>
      <c r="Q9" s="5">
        <f ca="1"/>
        <v>43661</v>
      </c>
      <c r="R9" s="5">
        <f ca="1"/>
        <v>43662</v>
      </c>
      <c r="S9" s="5">
        <f ca="1"/>
        <v>43663</v>
      </c>
      <c r="T9" s="5">
        <f ca="1"/>
        <v>43664</v>
      </c>
      <c r="U9" s="5">
        <f ca="1"/>
        <v>43665</v>
      </c>
      <c r="V9" s="5">
        <f ca="1"/>
        <v>43666</v>
      </c>
      <c r="W9" s="5">
        <f ca="1"/>
        <v>43667</v>
      </c>
      <c r="X9" s="5">
        <f ca="1"/>
        <v>43668</v>
      </c>
      <c r="Y9" s="5">
        <f ca="1"/>
        <v>43669</v>
      </c>
      <c r="Z9" s="5">
        <f ca="1"/>
        <v>43670</v>
      </c>
      <c r="AA9" s="5">
        <f ca="1"/>
        <v>43671</v>
      </c>
      <c r="AB9" s="5">
        <f ca="1"/>
        <v>43672</v>
      </c>
      <c r="AC9" s="5">
        <f ca="1"/>
        <v>43673</v>
      </c>
      <c r="AD9" s="5">
        <f ca="1"/>
        <v>43674</v>
      </c>
      <c r="AE9" s="5">
        <f ca="1"/>
        <v>43675</v>
      </c>
      <c r="AF9" s="5">
        <f ca="1"/>
        <v>43676</v>
      </c>
      <c r="AG9" s="5">
        <f ca="1"/>
        <v>43677</v>
      </c>
    </row>
    <row r="10" spans="1:33" ht="30" customHeight="1" x14ac:dyDescent="0.25">
      <c r="A10" s="3"/>
      <c r="B10" s="4" t="str">
        <f t="shared" ca="1" si="0"/>
        <v>АВГУСТ</v>
      </c>
      <c r="C10" s="5">
        <f t="array" aca="1" ref="C10:AG10" ca="1">DaysAndWeeks+DATE(CalendarYear,8,1)</f>
        <v>43678</v>
      </c>
      <c r="D10" s="5">
        <f ca="1"/>
        <v>43679</v>
      </c>
      <c r="E10" s="5">
        <f ca="1"/>
        <v>43680</v>
      </c>
      <c r="F10" s="5">
        <f ca="1"/>
        <v>43681</v>
      </c>
      <c r="G10" s="5">
        <f ca="1"/>
        <v>43682</v>
      </c>
      <c r="H10" s="5">
        <f ca="1"/>
        <v>43683</v>
      </c>
      <c r="I10" s="5">
        <f ca="1"/>
        <v>43684</v>
      </c>
      <c r="J10" s="5">
        <f ca="1"/>
        <v>43685</v>
      </c>
      <c r="K10" s="5">
        <f ca="1"/>
        <v>43686</v>
      </c>
      <c r="L10" s="5">
        <f ca="1"/>
        <v>43687</v>
      </c>
      <c r="M10" s="5">
        <f ca="1"/>
        <v>43688</v>
      </c>
      <c r="N10" s="5">
        <f ca="1"/>
        <v>43689</v>
      </c>
      <c r="O10" s="5">
        <f ca="1"/>
        <v>43690</v>
      </c>
      <c r="P10" s="5">
        <f ca="1"/>
        <v>43691</v>
      </c>
      <c r="Q10" s="5">
        <f ca="1"/>
        <v>43692</v>
      </c>
      <c r="R10" s="5">
        <f ca="1"/>
        <v>43693</v>
      </c>
      <c r="S10" s="5">
        <f ca="1"/>
        <v>43694</v>
      </c>
      <c r="T10" s="5">
        <f ca="1"/>
        <v>43695</v>
      </c>
      <c r="U10" s="5">
        <f ca="1"/>
        <v>43696</v>
      </c>
      <c r="V10" s="5">
        <f ca="1"/>
        <v>43697</v>
      </c>
      <c r="W10" s="5">
        <f ca="1"/>
        <v>43698</v>
      </c>
      <c r="X10" s="5">
        <f ca="1"/>
        <v>43699</v>
      </c>
      <c r="Y10" s="5">
        <f ca="1"/>
        <v>43700</v>
      </c>
      <c r="Z10" s="5">
        <f ca="1"/>
        <v>43701</v>
      </c>
      <c r="AA10" s="5">
        <f ca="1"/>
        <v>43702</v>
      </c>
      <c r="AB10" s="5">
        <f ca="1"/>
        <v>43703</v>
      </c>
      <c r="AC10" s="5">
        <f ca="1"/>
        <v>43704</v>
      </c>
      <c r="AD10" s="5">
        <f ca="1"/>
        <v>43705</v>
      </c>
      <c r="AE10" s="5">
        <f ca="1"/>
        <v>43706</v>
      </c>
      <c r="AF10" s="5">
        <f ca="1"/>
        <v>43707</v>
      </c>
      <c r="AG10" s="5">
        <f ca="1"/>
        <v>43708</v>
      </c>
    </row>
    <row r="11" spans="1:33" ht="30" customHeight="1" x14ac:dyDescent="0.25">
      <c r="A11" s="3"/>
      <c r="B11" s="4" t="str">
        <f t="shared" ca="1" si="0"/>
        <v>СЕНТЯБРЬ</v>
      </c>
      <c r="C11" s="5">
        <f t="array" aca="1" ref="C11:AF11" ca="1">DaysAndWeeks+DATE(CalendarYear,9,1)</f>
        <v>43709</v>
      </c>
      <c r="D11" s="5">
        <f ca="1"/>
        <v>43710</v>
      </c>
      <c r="E11" s="5">
        <f ca="1"/>
        <v>43711</v>
      </c>
      <c r="F11" s="5">
        <f ca="1"/>
        <v>43712</v>
      </c>
      <c r="G11" s="5">
        <f ca="1"/>
        <v>43713</v>
      </c>
      <c r="H11" s="5">
        <f ca="1"/>
        <v>43714</v>
      </c>
      <c r="I11" s="5">
        <f ca="1"/>
        <v>43715</v>
      </c>
      <c r="J11" s="5">
        <f ca="1"/>
        <v>43716</v>
      </c>
      <c r="K11" s="5">
        <f ca="1"/>
        <v>43717</v>
      </c>
      <c r="L11" s="5">
        <f ca="1"/>
        <v>43718</v>
      </c>
      <c r="M11" s="5">
        <f ca="1"/>
        <v>43719</v>
      </c>
      <c r="N11" s="5">
        <f ca="1"/>
        <v>43720</v>
      </c>
      <c r="O11" s="5">
        <f ca="1"/>
        <v>43721</v>
      </c>
      <c r="P11" s="5">
        <f ca="1"/>
        <v>43722</v>
      </c>
      <c r="Q11" s="5">
        <f ca="1"/>
        <v>43723</v>
      </c>
      <c r="R11" s="5">
        <f ca="1"/>
        <v>43724</v>
      </c>
      <c r="S11" s="5">
        <f ca="1"/>
        <v>43725</v>
      </c>
      <c r="T11" s="5">
        <f ca="1"/>
        <v>43726</v>
      </c>
      <c r="U11" s="5">
        <f ca="1"/>
        <v>43727</v>
      </c>
      <c r="V11" s="5">
        <f ca="1"/>
        <v>43728</v>
      </c>
      <c r="W11" s="5">
        <f ca="1"/>
        <v>43729</v>
      </c>
      <c r="X11" s="5">
        <f ca="1"/>
        <v>43730</v>
      </c>
      <c r="Y11" s="5">
        <f ca="1"/>
        <v>43731</v>
      </c>
      <c r="Z11" s="5">
        <f ca="1"/>
        <v>43732</v>
      </c>
      <c r="AA11" s="5">
        <f ca="1"/>
        <v>43733</v>
      </c>
      <c r="AB11" s="5">
        <f ca="1"/>
        <v>43734</v>
      </c>
      <c r="AC11" s="5">
        <f ca="1"/>
        <v>43735</v>
      </c>
      <c r="AD11" s="5">
        <f ca="1"/>
        <v>43736</v>
      </c>
      <c r="AE11" s="5">
        <f ca="1"/>
        <v>43737</v>
      </c>
      <c r="AF11" s="5">
        <f ca="1"/>
        <v>43738</v>
      </c>
      <c r="AG11" s="6"/>
    </row>
    <row r="12" spans="1:33" ht="30" customHeight="1" x14ac:dyDescent="0.25">
      <c r="A12" s="3"/>
      <c r="B12" s="4" t="str">
        <f t="shared" ca="1" si="0"/>
        <v>ОКТЯБРЬ</v>
      </c>
      <c r="C12" s="5">
        <f t="array" aca="1" ref="C12:AG12" ca="1">DaysAndWeeks+DATE(CalendarYear,10,1)</f>
        <v>43739</v>
      </c>
      <c r="D12" s="5">
        <f ca="1"/>
        <v>43740</v>
      </c>
      <c r="E12" s="5">
        <f ca="1"/>
        <v>43741</v>
      </c>
      <c r="F12" s="5">
        <f ca="1"/>
        <v>43742</v>
      </c>
      <c r="G12" s="5">
        <f ca="1"/>
        <v>43743</v>
      </c>
      <c r="H12" s="5">
        <f ca="1"/>
        <v>43744</v>
      </c>
      <c r="I12" s="5">
        <f ca="1"/>
        <v>43745</v>
      </c>
      <c r="J12" s="5">
        <f ca="1"/>
        <v>43746</v>
      </c>
      <c r="K12" s="5">
        <f ca="1"/>
        <v>43747</v>
      </c>
      <c r="L12" s="5">
        <f ca="1"/>
        <v>43748</v>
      </c>
      <c r="M12" s="5">
        <f ca="1"/>
        <v>43749</v>
      </c>
      <c r="N12" s="5">
        <f ca="1"/>
        <v>43750</v>
      </c>
      <c r="O12" s="5">
        <f ca="1"/>
        <v>43751</v>
      </c>
      <c r="P12" s="5">
        <f ca="1"/>
        <v>43752</v>
      </c>
      <c r="Q12" s="5">
        <f ca="1"/>
        <v>43753</v>
      </c>
      <c r="R12" s="5">
        <f ca="1"/>
        <v>43754</v>
      </c>
      <c r="S12" s="5">
        <f ca="1"/>
        <v>43755</v>
      </c>
      <c r="T12" s="5">
        <f ca="1"/>
        <v>43756</v>
      </c>
      <c r="U12" s="5">
        <f ca="1"/>
        <v>43757</v>
      </c>
      <c r="V12" s="5">
        <f ca="1"/>
        <v>43758</v>
      </c>
      <c r="W12" s="5">
        <f ca="1"/>
        <v>43759</v>
      </c>
      <c r="X12" s="5">
        <f ca="1"/>
        <v>43760</v>
      </c>
      <c r="Y12" s="5">
        <f ca="1"/>
        <v>43761</v>
      </c>
      <c r="Z12" s="5">
        <f ca="1"/>
        <v>43762</v>
      </c>
      <c r="AA12" s="5">
        <f ca="1"/>
        <v>43763</v>
      </c>
      <c r="AB12" s="5">
        <f ca="1"/>
        <v>43764</v>
      </c>
      <c r="AC12" s="5">
        <f ca="1"/>
        <v>43765</v>
      </c>
      <c r="AD12" s="5">
        <f ca="1"/>
        <v>43766</v>
      </c>
      <c r="AE12" s="5">
        <f ca="1"/>
        <v>43767</v>
      </c>
      <c r="AF12" s="5">
        <f ca="1"/>
        <v>43768</v>
      </c>
      <c r="AG12" s="5">
        <f ca="1"/>
        <v>43769</v>
      </c>
    </row>
    <row r="13" spans="1:33" ht="30" customHeight="1" x14ac:dyDescent="0.25">
      <c r="A13" s="3"/>
      <c r="B13" s="4" t="str">
        <f t="shared" ca="1" si="0"/>
        <v>НОЯБРЬ</v>
      </c>
      <c r="C13" s="5">
        <f t="array" aca="1" ref="C13:AF13" ca="1">DaysAndWeeks+DATE(CalendarYear,11,1)</f>
        <v>43770</v>
      </c>
      <c r="D13" s="5">
        <f ca="1"/>
        <v>43771</v>
      </c>
      <c r="E13" s="5">
        <f ca="1"/>
        <v>43772</v>
      </c>
      <c r="F13" s="5">
        <f ca="1"/>
        <v>43773</v>
      </c>
      <c r="G13" s="5">
        <f ca="1"/>
        <v>43774</v>
      </c>
      <c r="H13" s="5">
        <f ca="1"/>
        <v>43775</v>
      </c>
      <c r="I13" s="5">
        <f ca="1"/>
        <v>43776</v>
      </c>
      <c r="J13" s="5">
        <f ca="1"/>
        <v>43777</v>
      </c>
      <c r="K13" s="5">
        <f ca="1"/>
        <v>43778</v>
      </c>
      <c r="L13" s="5">
        <f ca="1"/>
        <v>43779</v>
      </c>
      <c r="M13" s="5">
        <f ca="1"/>
        <v>43780</v>
      </c>
      <c r="N13" s="5">
        <f ca="1"/>
        <v>43781</v>
      </c>
      <c r="O13" s="5">
        <f ca="1"/>
        <v>43782</v>
      </c>
      <c r="P13" s="5">
        <f ca="1"/>
        <v>43783</v>
      </c>
      <c r="Q13" s="5">
        <f ca="1"/>
        <v>43784</v>
      </c>
      <c r="R13" s="5">
        <f ca="1"/>
        <v>43785</v>
      </c>
      <c r="S13" s="5">
        <f ca="1"/>
        <v>43786</v>
      </c>
      <c r="T13" s="5">
        <f ca="1"/>
        <v>43787</v>
      </c>
      <c r="U13" s="5">
        <f ca="1"/>
        <v>43788</v>
      </c>
      <c r="V13" s="5">
        <f ca="1"/>
        <v>43789</v>
      </c>
      <c r="W13" s="5">
        <f ca="1"/>
        <v>43790</v>
      </c>
      <c r="X13" s="5">
        <f ca="1"/>
        <v>43791</v>
      </c>
      <c r="Y13" s="5">
        <f ca="1"/>
        <v>43792</v>
      </c>
      <c r="Z13" s="5">
        <f ca="1"/>
        <v>43793</v>
      </c>
      <c r="AA13" s="5">
        <f ca="1"/>
        <v>43794</v>
      </c>
      <c r="AB13" s="5">
        <f ca="1"/>
        <v>43795</v>
      </c>
      <c r="AC13" s="5">
        <f ca="1"/>
        <v>43796</v>
      </c>
      <c r="AD13" s="5">
        <f ca="1"/>
        <v>43797</v>
      </c>
      <c r="AE13" s="5">
        <f ca="1"/>
        <v>43798</v>
      </c>
      <c r="AF13" s="5">
        <f ca="1"/>
        <v>43799</v>
      </c>
      <c r="AG13" s="6"/>
    </row>
    <row r="14" spans="1:33" ht="30" customHeight="1" x14ac:dyDescent="0.25">
      <c r="A14" s="3"/>
      <c r="B14" s="4" t="str">
        <f t="shared" ca="1" si="0"/>
        <v>ДЕКАБРЬ</v>
      </c>
      <c r="C14" s="5">
        <f t="array" aca="1" ref="C14:AG14" ca="1">DaysAndWeeks+DATE(CalendarYear,12,1)</f>
        <v>43800</v>
      </c>
      <c r="D14" s="5">
        <f ca="1"/>
        <v>43801</v>
      </c>
      <c r="E14" s="5">
        <f ca="1"/>
        <v>43802</v>
      </c>
      <c r="F14" s="5">
        <f ca="1"/>
        <v>43803</v>
      </c>
      <c r="G14" s="5">
        <f ca="1"/>
        <v>43804</v>
      </c>
      <c r="H14" s="5">
        <f ca="1"/>
        <v>43805</v>
      </c>
      <c r="I14" s="5">
        <f ca="1"/>
        <v>43806</v>
      </c>
      <c r="J14" s="5">
        <f ca="1"/>
        <v>43807</v>
      </c>
      <c r="K14" s="5">
        <f ca="1"/>
        <v>43808</v>
      </c>
      <c r="L14" s="5">
        <f ca="1"/>
        <v>43809</v>
      </c>
      <c r="M14" s="5">
        <f ca="1"/>
        <v>43810</v>
      </c>
      <c r="N14" s="5">
        <f ca="1"/>
        <v>43811</v>
      </c>
      <c r="O14" s="5">
        <f ca="1"/>
        <v>43812</v>
      </c>
      <c r="P14" s="5">
        <f ca="1"/>
        <v>43813</v>
      </c>
      <c r="Q14" s="5">
        <f ca="1"/>
        <v>43814</v>
      </c>
      <c r="R14" s="5">
        <f ca="1"/>
        <v>43815</v>
      </c>
      <c r="S14" s="5">
        <f ca="1"/>
        <v>43816</v>
      </c>
      <c r="T14" s="5">
        <f ca="1"/>
        <v>43817</v>
      </c>
      <c r="U14" s="5">
        <f ca="1"/>
        <v>43818</v>
      </c>
      <c r="V14" s="5">
        <f ca="1"/>
        <v>43819</v>
      </c>
      <c r="W14" s="5">
        <f ca="1"/>
        <v>43820</v>
      </c>
      <c r="X14" s="5">
        <f ca="1"/>
        <v>43821</v>
      </c>
      <c r="Y14" s="5">
        <f ca="1"/>
        <v>43822</v>
      </c>
      <c r="Z14" s="5">
        <f ca="1"/>
        <v>43823</v>
      </c>
      <c r="AA14" s="5">
        <f ca="1"/>
        <v>43824</v>
      </c>
      <c r="AB14" s="5">
        <f ca="1"/>
        <v>43825</v>
      </c>
      <c r="AC14" s="5">
        <f ca="1"/>
        <v>43826</v>
      </c>
      <c r="AD14" s="5">
        <f ca="1"/>
        <v>43827</v>
      </c>
      <c r="AE14" s="5">
        <f ca="1"/>
        <v>43828</v>
      </c>
      <c r="AF14" s="5">
        <f ca="1"/>
        <v>43829</v>
      </c>
      <c r="AG14" s="5">
        <f ca="1"/>
        <v>43830</v>
      </c>
    </row>
  </sheetData>
  <mergeCells count="1">
    <mergeCell ref="A1:F1"/>
  </mergeCells>
  <dataValidations count="3">
    <dataValidation allowBlank="1" showInputMessage="1" showErrorMessage="1" prompt="Dates in this row are automatically updated" sqref="C3:C14"/>
    <dataValidation allowBlank="1" showInputMessage="1" showErrorMessage="1" prompt="Enter year in this cell and Important Dates in table below. Today’s Date is automatically updated in cell J2" sqref="A1"/>
    <dataValidation allowBlank="1" showInputMessage="1" showErrorMessage="1" prompt="Month is automatically updated in this cell" sqref="B3:B14 G1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3"/>
  <sheetViews>
    <sheetView workbookViewId="0">
      <selection activeCell="T40" sqref="T39:T40"/>
    </sheetView>
  </sheetViews>
  <sheetFormatPr defaultRowHeight="15" x14ac:dyDescent="0.25"/>
  <cols>
    <col min="1" max="1" width="12.140625" style="13" customWidth="1"/>
    <col min="2" max="2" width="14" style="13" customWidth="1"/>
    <col min="3" max="3" width="9.140625" style="13"/>
    <col min="4" max="17" width="4.85546875" style="13" customWidth="1"/>
    <col min="18" max="16384" width="9.140625" style="13"/>
  </cols>
  <sheetData>
    <row r="2" spans="1:1" x14ac:dyDescent="0.25">
      <c r="A2" s="14">
        <v>43101</v>
      </c>
    </row>
    <row r="3" spans="1:1" x14ac:dyDescent="0.25">
      <c r="A3" s="14">
        <v>43102</v>
      </c>
    </row>
    <row r="4" spans="1:1" x14ac:dyDescent="0.25">
      <c r="A4" s="14">
        <v>43107</v>
      </c>
    </row>
    <row r="5" spans="1:1" x14ac:dyDescent="0.25">
      <c r="A5" s="14">
        <v>43167</v>
      </c>
    </row>
    <row r="6" spans="1:1" x14ac:dyDescent="0.25">
      <c r="A6" s="14">
        <v>43180</v>
      </c>
    </row>
    <row r="7" spans="1:1" x14ac:dyDescent="0.25">
      <c r="A7" s="14">
        <v>43181</v>
      </c>
    </row>
    <row r="8" spans="1:1" x14ac:dyDescent="0.25">
      <c r="A8" s="14">
        <v>43182</v>
      </c>
    </row>
    <row r="9" spans="1:1" x14ac:dyDescent="0.25">
      <c r="A9" s="14">
        <v>43221</v>
      </c>
    </row>
    <row r="10" spans="1:1" x14ac:dyDescent="0.25">
      <c r="A10" s="14">
        <v>43227</v>
      </c>
    </row>
    <row r="11" spans="1:1" x14ac:dyDescent="0.25">
      <c r="A11" s="14">
        <v>43229</v>
      </c>
    </row>
    <row r="12" spans="1:1" x14ac:dyDescent="0.25">
      <c r="A12" s="14">
        <v>43287</v>
      </c>
    </row>
    <row r="13" spans="1:1" x14ac:dyDescent="0.25">
      <c r="A13" s="14">
        <v>43342</v>
      </c>
    </row>
    <row r="14" spans="1:1" x14ac:dyDescent="0.25">
      <c r="A14" s="14">
        <v>43435</v>
      </c>
    </row>
    <row r="15" spans="1:1" x14ac:dyDescent="0.25">
      <c r="A15" s="14">
        <v>43450</v>
      </c>
    </row>
    <row r="16" spans="1:1" x14ac:dyDescent="0.25">
      <c r="A16" s="14">
        <v>43451</v>
      </c>
    </row>
    <row r="17" spans="1:1" x14ac:dyDescent="0.25">
      <c r="A17" s="14">
        <v>43466</v>
      </c>
    </row>
    <row r="18" spans="1:1" x14ac:dyDescent="0.25">
      <c r="A18" s="14">
        <v>43467</v>
      </c>
    </row>
    <row r="19" spans="1:1" x14ac:dyDescent="0.25">
      <c r="A19" s="14">
        <v>43472</v>
      </c>
    </row>
    <row r="20" spans="1:1" x14ac:dyDescent="0.25">
      <c r="A20" s="14">
        <v>43532</v>
      </c>
    </row>
    <row r="21" spans="1:1" x14ac:dyDescent="0.25">
      <c r="A21" s="14">
        <v>43545</v>
      </c>
    </row>
    <row r="22" spans="1:1" x14ac:dyDescent="0.25">
      <c r="A22" s="14">
        <v>43546</v>
      </c>
    </row>
    <row r="23" spans="1:1" x14ac:dyDescent="0.25">
      <c r="A23" s="14">
        <v>43547</v>
      </c>
    </row>
    <row r="24" spans="1:1" x14ac:dyDescent="0.25">
      <c r="A24" s="14">
        <v>43549</v>
      </c>
    </row>
    <row r="25" spans="1:1" x14ac:dyDescent="0.25">
      <c r="A25" s="14">
        <v>43586</v>
      </c>
    </row>
    <row r="26" spans="1:1" x14ac:dyDescent="0.25">
      <c r="A26" s="14">
        <v>43592</v>
      </c>
    </row>
    <row r="27" spans="1:1" x14ac:dyDescent="0.25">
      <c r="A27" s="14">
        <v>43594</v>
      </c>
    </row>
    <row r="28" spans="1:1" x14ac:dyDescent="0.25">
      <c r="A28" s="14">
        <v>43652</v>
      </c>
    </row>
    <row r="29" spans="1:1" x14ac:dyDescent="0.25">
      <c r="A29" s="14">
        <v>43654</v>
      </c>
    </row>
    <row r="30" spans="1:1" x14ac:dyDescent="0.25">
      <c r="A30" s="14">
        <v>43707</v>
      </c>
    </row>
    <row r="31" spans="1:1" x14ac:dyDescent="0.25">
      <c r="A31" s="14">
        <v>43800</v>
      </c>
    </row>
    <row r="32" spans="1:1" x14ac:dyDescent="0.25">
      <c r="A32" s="14">
        <v>43815</v>
      </c>
    </row>
    <row r="33" spans="1:1" x14ac:dyDescent="0.25">
      <c r="A33" s="14">
        <v>43816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Табель</vt:lpstr>
      <vt:lpstr>ЗП АУП</vt:lpstr>
      <vt:lpstr>БалансРабВрем  </vt:lpstr>
      <vt:lpstr>Calendar</vt:lpstr>
      <vt:lpstr>Праздники</vt:lpstr>
      <vt:lpstr>CalendarYear</vt:lpstr>
      <vt:lpstr>должность</vt:lpstr>
      <vt:lpstr>Табель!Область_печати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</dc:creator>
  <cp:lastModifiedBy>ГАВ</cp:lastModifiedBy>
  <cp:lastPrinted>2019-02-27T05:12:06Z</cp:lastPrinted>
  <dcterms:created xsi:type="dcterms:W3CDTF">2019-01-30T09:28:46Z</dcterms:created>
  <dcterms:modified xsi:type="dcterms:W3CDTF">2019-02-27T06:29:19Z</dcterms:modified>
</cp:coreProperties>
</file>