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-120" yWindow="0" windowWidth="19440" windowHeight="13770" activeTab="1"/>
  </bookViews>
  <sheets>
    <sheet name="График" sheetId="1" r:id="rId1"/>
    <sheet name="Табель" sheetId="3" r:id="rId2"/>
    <sheet name="Параметры" sheetId="2" r:id="rId3"/>
  </sheets>
  <externalReferences>
    <externalReference r:id="rId4"/>
    <externalReference r:id="rId5"/>
    <externalReference r:id="rId6"/>
  </externalReferences>
  <definedNames>
    <definedName name="выхрабд">[1]всяки!$I$3:$I$23</definedName>
    <definedName name="год" localSheetId="1">[1]всяки!$C$1:$C$12</definedName>
    <definedName name="год">[2]Календарь!$C$1:$C$12</definedName>
    <definedName name="допнер" localSheetId="1">[1]всяки!$H$3:$H$23</definedName>
    <definedName name="допнер">[2]Календарь!$H$2:$H$20</definedName>
    <definedName name="_xlnm.Print_Titles" localSheetId="0">График!$1:$3</definedName>
    <definedName name="_xlnm.Print_Titles" localSheetId="1">Табель!$10:$15</definedName>
    <definedName name="Категория">[3]Служебный!$A$1:$A$3</definedName>
    <definedName name="месяц" localSheetId="1">[1]всяки!$A$1:$A$12</definedName>
    <definedName name="месяц">[2]Календарь!$A$1:$A$12</definedName>
    <definedName name="_xlnm.Print_Area" localSheetId="0">График!$A$1:$AN$63</definedName>
    <definedName name="празд" localSheetId="1">[1]всяки!$G$3:$G$23</definedName>
    <definedName name="празд">[2]Календарь!$G$2:$G$20</definedName>
    <definedName name="предпр" localSheetId="1">[1]всяки!$F$3:$F$23</definedName>
    <definedName name="предпр">[2]Календарь!$F$2:$F$20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7" i="3" l="1"/>
  <c r="H77" i="3"/>
  <c r="I77" i="3"/>
  <c r="J77" i="3"/>
  <c r="K77" i="3"/>
  <c r="L77" i="3"/>
  <c r="F77" i="3"/>
  <c r="AJ63" i="1" l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28" i="1"/>
  <c r="AJ13" i="1"/>
  <c r="AJ14" i="1"/>
  <c r="AJ15" i="1"/>
  <c r="AJ16" i="1"/>
  <c r="AJ17" i="1"/>
  <c r="AJ18" i="1"/>
  <c r="AJ19" i="1"/>
  <c r="AJ20" i="1"/>
  <c r="AJ21" i="1"/>
  <c r="AJ22" i="1"/>
  <c r="AJ23" i="1"/>
  <c r="C1" i="1" l="1"/>
  <c r="U30" i="3" l="1"/>
  <c r="V24" i="3" l="1"/>
  <c r="AD28" i="3"/>
  <c r="AE28" i="3" s="1" a="1"/>
  <c r="AE28" i="3" s="1"/>
  <c r="U13" i="3"/>
  <c r="D76" i="3" l="1"/>
  <c r="C78" i="3"/>
  <c r="D72" i="3"/>
  <c r="C74" i="3"/>
  <c r="D68" i="3"/>
  <c r="C70" i="3"/>
  <c r="D64" i="3"/>
  <c r="C66" i="3"/>
  <c r="D60" i="3"/>
  <c r="C62" i="3"/>
  <c r="D56" i="3"/>
  <c r="C58" i="3"/>
  <c r="D52" i="3"/>
  <c r="C54" i="3"/>
  <c r="D48" i="3"/>
  <c r="C50" i="3"/>
  <c r="D44" i="3"/>
  <c r="C46" i="3"/>
  <c r="D40" i="3"/>
  <c r="C42" i="3"/>
  <c r="D36" i="3"/>
  <c r="C38" i="3"/>
  <c r="D32" i="3"/>
  <c r="C34" i="3"/>
  <c r="D28" i="3"/>
  <c r="C30" i="3"/>
  <c r="F11" i="3" l="1"/>
  <c r="D24" i="3"/>
  <c r="D20" i="3"/>
  <c r="D16" i="3"/>
  <c r="AH77" i="3"/>
  <c r="AH73" i="3"/>
  <c r="AH69" i="3"/>
  <c r="AH65" i="3"/>
  <c r="AH61" i="3"/>
  <c r="AH37" i="3"/>
  <c r="AH33" i="3"/>
  <c r="AH29" i="3"/>
  <c r="AH21" i="3"/>
  <c r="AH25" i="3"/>
  <c r="AH41" i="3"/>
  <c r="AH45" i="3"/>
  <c r="AH53" i="3"/>
  <c r="AH49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V48" i="3" l="1"/>
  <c r="AH57" i="3"/>
  <c r="AH17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F4" i="3"/>
  <c r="H4" i="3" s="1"/>
  <c r="AD16" i="3" l="1"/>
  <c r="AE16" i="3" s="1" a="1"/>
  <c r="AE16" i="3" s="1"/>
  <c r="U78" i="3"/>
  <c r="U79" i="3" s="1"/>
  <c r="U74" i="3"/>
  <c r="U75" i="3" s="1"/>
  <c r="U70" i="3"/>
  <c r="U71" i="3" s="1"/>
  <c r="U66" i="3"/>
  <c r="U67" i="3" s="1"/>
  <c r="U62" i="3"/>
  <c r="U63" i="3" s="1"/>
  <c r="V60" i="3"/>
  <c r="V61" i="3"/>
  <c r="V68" i="3"/>
  <c r="V69" i="3"/>
  <c r="V76" i="3"/>
  <c r="V64" i="3"/>
  <c r="V65" i="3"/>
  <c r="V72" i="3"/>
  <c r="V73" i="3"/>
  <c r="V28" i="3"/>
  <c r="V29" i="3"/>
  <c r="V37" i="3"/>
  <c r="V36" i="3"/>
  <c r="U22" i="3"/>
  <c r="U38" i="3"/>
  <c r="U39" i="3" s="1"/>
  <c r="U34" i="3"/>
  <c r="V33" i="3"/>
  <c r="V32" i="3"/>
  <c r="V20" i="3"/>
  <c r="V21" i="3"/>
  <c r="U42" i="3"/>
  <c r="U43" i="3" s="1"/>
  <c r="V25" i="3"/>
  <c r="Z24" i="3" s="1"/>
  <c r="V41" i="3"/>
  <c r="V40" i="3"/>
  <c r="V45" i="3"/>
  <c r="U54" i="3"/>
  <c r="U55" i="3" s="1"/>
  <c r="U46" i="3"/>
  <c r="U47" i="3" s="1"/>
  <c r="V44" i="3"/>
  <c r="V53" i="3"/>
  <c r="V49" i="3"/>
  <c r="V52" i="3"/>
  <c r="U50" i="3"/>
  <c r="U51" i="3" s="1"/>
  <c r="U58" i="3"/>
  <c r="U59" i="3" s="1"/>
  <c r="A28" i="1"/>
  <c r="B28" i="1"/>
  <c r="C28" i="1"/>
  <c r="AK28" i="1"/>
  <c r="A29" i="1"/>
  <c r="B29" i="1"/>
  <c r="C29" i="1"/>
  <c r="AK29" i="1"/>
  <c r="A30" i="1"/>
  <c r="B30" i="1"/>
  <c r="C30" i="1"/>
  <c r="AK30" i="1"/>
  <c r="A31" i="1"/>
  <c r="B31" i="1"/>
  <c r="C31" i="1"/>
  <c r="AK31" i="1"/>
  <c r="A32" i="1"/>
  <c r="B32" i="1"/>
  <c r="C32" i="1"/>
  <c r="AK32" i="1"/>
  <c r="A33" i="1"/>
  <c r="B33" i="1"/>
  <c r="C33" i="1"/>
  <c r="AK33" i="1"/>
  <c r="A34" i="1"/>
  <c r="B34" i="1"/>
  <c r="C34" i="1"/>
  <c r="AK34" i="1"/>
  <c r="A35" i="1"/>
  <c r="B35" i="1"/>
  <c r="C35" i="1"/>
  <c r="AK35" i="1"/>
  <c r="A36" i="1"/>
  <c r="B36" i="1"/>
  <c r="C36" i="1"/>
  <c r="AK36" i="1"/>
  <c r="A37" i="1"/>
  <c r="B37" i="1"/>
  <c r="C37" i="1"/>
  <c r="AK37" i="1"/>
  <c r="A38" i="1"/>
  <c r="B38" i="1"/>
  <c r="C38" i="1"/>
  <c r="AK38" i="1"/>
  <c r="A39" i="1"/>
  <c r="B39" i="1"/>
  <c r="C39" i="1"/>
  <c r="AK39" i="1"/>
  <c r="A40" i="1"/>
  <c r="B40" i="1"/>
  <c r="C40" i="1"/>
  <c r="AK40" i="1"/>
  <c r="A41" i="1"/>
  <c r="B41" i="1"/>
  <c r="C41" i="1"/>
  <c r="AK41" i="1"/>
  <c r="A42" i="1"/>
  <c r="B42" i="1"/>
  <c r="C42" i="1"/>
  <c r="AK42" i="1"/>
  <c r="A43" i="1"/>
  <c r="B43" i="1"/>
  <c r="C43" i="1"/>
  <c r="AK43" i="1"/>
  <c r="T45" i="1"/>
  <c r="A48" i="1"/>
  <c r="B48" i="1"/>
  <c r="C48" i="1"/>
  <c r="AK48" i="1"/>
  <c r="A49" i="1"/>
  <c r="B49" i="1"/>
  <c r="C49" i="1"/>
  <c r="AK49" i="1"/>
  <c r="A50" i="1"/>
  <c r="B50" i="1"/>
  <c r="C50" i="1"/>
  <c r="AK50" i="1"/>
  <c r="A51" i="1"/>
  <c r="B51" i="1"/>
  <c r="C51" i="1"/>
  <c r="AK51" i="1"/>
  <c r="A52" i="1"/>
  <c r="B52" i="1"/>
  <c r="C52" i="1"/>
  <c r="AK52" i="1"/>
  <c r="A53" i="1"/>
  <c r="B53" i="1"/>
  <c r="C53" i="1"/>
  <c r="AK53" i="1"/>
  <c r="A54" i="1"/>
  <c r="B54" i="1"/>
  <c r="C54" i="1"/>
  <c r="AK54" i="1"/>
  <c r="A55" i="1"/>
  <c r="B55" i="1"/>
  <c r="C55" i="1"/>
  <c r="AK55" i="1"/>
  <c r="A56" i="1"/>
  <c r="B56" i="1"/>
  <c r="C56" i="1"/>
  <c r="AK56" i="1"/>
  <c r="A57" i="1"/>
  <c r="B57" i="1"/>
  <c r="C57" i="1"/>
  <c r="AK57" i="1"/>
  <c r="U35" i="3" l="1"/>
  <c r="AD36" i="3" s="1"/>
  <c r="AE36" i="3" s="1" a="1"/>
  <c r="AE36" i="3" s="1"/>
  <c r="U23" i="3"/>
  <c r="AD24" i="3" s="1"/>
  <c r="AE24" i="3" s="1" a="1"/>
  <c r="AE24" i="3" s="1"/>
  <c r="AD32" i="3"/>
  <c r="AE32" i="3" s="1" a="1"/>
  <c r="AE32" i="3" s="1"/>
  <c r="V63" i="3"/>
  <c r="W62" i="3" s="1"/>
  <c r="V62" i="3"/>
  <c r="W60" i="3" s="1"/>
  <c r="V71" i="3"/>
  <c r="W70" i="3" s="1"/>
  <c r="V70" i="3"/>
  <c r="W68" i="3" s="1"/>
  <c r="V78" i="3"/>
  <c r="W76" i="3" s="1"/>
  <c r="V67" i="3"/>
  <c r="W66" i="3" s="1"/>
  <c r="V66" i="3"/>
  <c r="W64" i="3" s="1"/>
  <c r="AF72" i="3"/>
  <c r="V74" i="3"/>
  <c r="W72" i="3" s="1"/>
  <c r="AD63" i="3"/>
  <c r="AD44" i="3"/>
  <c r="AE44" i="3" s="1"/>
  <c r="AD46" i="3"/>
  <c r="V30" i="3"/>
  <c r="W28" i="3" s="1"/>
  <c r="V31" i="3"/>
  <c r="W30" i="3" s="1"/>
  <c r="V38" i="3"/>
  <c r="W36" i="3" s="1"/>
  <c r="V39" i="3"/>
  <c r="W38" i="3" s="1"/>
  <c r="V34" i="3"/>
  <c r="W32" i="3" s="1"/>
  <c r="V23" i="3"/>
  <c r="W22" i="3" s="1"/>
  <c r="V22" i="3"/>
  <c r="W20" i="3" s="1"/>
  <c r="V47" i="3"/>
  <c r="W46" i="3" s="1"/>
  <c r="AD26" i="3"/>
  <c r="V27" i="3"/>
  <c r="W26" i="3" s="1"/>
  <c r="AF24" i="3"/>
  <c r="AD25" i="3"/>
  <c r="AD27" i="3"/>
  <c r="V26" i="3"/>
  <c r="W24" i="3" s="1"/>
  <c r="AD47" i="3"/>
  <c r="V50" i="3"/>
  <c r="W48" i="3" s="1"/>
  <c r="V46" i="3"/>
  <c r="W44" i="3" s="1"/>
  <c r="AD45" i="3"/>
  <c r="AF44" i="3"/>
  <c r="V42" i="3"/>
  <c r="W40" i="3" s="1"/>
  <c r="V51" i="3"/>
  <c r="W50" i="3" s="1"/>
  <c r="AF48" i="3"/>
  <c r="AD51" i="3"/>
  <c r="AD50" i="3"/>
  <c r="AD48" i="3"/>
  <c r="AE48" i="3" s="1"/>
  <c r="AD49" i="3"/>
  <c r="AD54" i="3"/>
  <c r="V54" i="3"/>
  <c r="W52" i="3" s="1"/>
  <c r="V57" i="3"/>
  <c r="V56" i="3"/>
  <c r="V59" i="3"/>
  <c r="W58" i="3" s="1"/>
  <c r="V58" i="3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G47" i="1" s="1"/>
  <c r="AN63" i="1"/>
  <c r="AN55" i="1"/>
  <c r="AN60" i="1"/>
  <c r="AN51" i="1"/>
  <c r="AH47" i="1" l="1"/>
  <c r="AD68" i="3"/>
  <c r="AE68" i="3" s="1"/>
  <c r="AF68" i="3"/>
  <c r="AD39" i="3"/>
  <c r="AE39" i="3" s="1" a="1"/>
  <c r="AE39" i="3" s="1"/>
  <c r="AD64" i="3"/>
  <c r="AE64" i="3" s="1"/>
  <c r="AD30" i="3"/>
  <c r="AE30" i="3" s="1" a="1"/>
  <c r="AE30" i="3" s="1"/>
  <c r="AD29" i="3"/>
  <c r="AE29" i="3" s="1" a="1"/>
  <c r="AE29" i="3" s="1"/>
  <c r="AF36" i="3"/>
  <c r="AH36" i="3" s="1" a="1"/>
  <c r="AH36" i="3" s="1"/>
  <c r="AD71" i="3"/>
  <c r="AE71" i="3" s="1" a="1"/>
  <c r="AE71" i="3" s="1"/>
  <c r="AD65" i="3"/>
  <c r="AE65" i="3" s="1" a="1"/>
  <c r="AE65" i="3" s="1"/>
  <c r="AD62" i="3"/>
  <c r="AE62" i="3" s="1" a="1"/>
  <c r="AE62" i="3" s="1"/>
  <c r="AD66" i="3"/>
  <c r="AE66" i="3" s="1" a="1"/>
  <c r="AE66" i="3" s="1"/>
  <c r="AD22" i="3"/>
  <c r="AE22" i="3" s="1" a="1"/>
  <c r="AE22" i="3" s="1"/>
  <c r="AH72" i="3" a="1"/>
  <c r="AH72" i="3" s="1"/>
  <c r="AD60" i="3"/>
  <c r="AE60" i="3" s="1"/>
  <c r="AD61" i="3"/>
  <c r="AE61" i="3" s="1" a="1"/>
  <c r="AE61" i="3" s="1"/>
  <c r="AD69" i="3"/>
  <c r="AE69" i="3" s="1" a="1"/>
  <c r="AE69" i="3" s="1"/>
  <c r="V75" i="3"/>
  <c r="W74" i="3" s="1"/>
  <c r="AD74" i="3"/>
  <c r="AE74" i="3" s="1" a="1"/>
  <c r="AE74" i="3" s="1"/>
  <c r="AD72" i="3"/>
  <c r="AE72" i="3" s="1"/>
  <c r="AD73" i="3"/>
  <c r="AE73" i="3" s="1" a="1"/>
  <c r="AE73" i="3" s="1"/>
  <c r="AD67" i="3"/>
  <c r="AE67" i="3" s="1" a="1"/>
  <c r="AE67" i="3" s="1"/>
  <c r="AD75" i="3"/>
  <c r="AE75" i="3" s="1" a="1"/>
  <c r="AE75" i="3" s="1"/>
  <c r="AF60" i="3"/>
  <c r="AH60" i="3" s="1" a="1"/>
  <c r="AH60" i="3" s="1"/>
  <c r="AD70" i="3"/>
  <c r="AE70" i="3" s="1" a="1"/>
  <c r="AE70" i="3" s="1"/>
  <c r="AF64" i="3"/>
  <c r="AH64" i="3" s="1" a="1"/>
  <c r="AH64" i="3" s="1"/>
  <c r="AE63" i="3" a="1"/>
  <c r="AE63" i="3" s="1"/>
  <c r="AH68" i="3" a="1"/>
  <c r="AH68" i="3" s="1"/>
  <c r="V35" i="3"/>
  <c r="W34" i="3" s="1"/>
  <c r="AD37" i="3"/>
  <c r="AE37" i="3" s="1" a="1"/>
  <c r="AE37" i="3" s="1"/>
  <c r="AD34" i="3"/>
  <c r="AE34" i="3" s="1" a="1"/>
  <c r="AE34" i="3" s="1"/>
  <c r="AF28" i="3"/>
  <c r="AH28" i="3" s="1" a="1"/>
  <c r="AH28" i="3" s="1"/>
  <c r="AD33" i="3"/>
  <c r="AE33" i="3" s="1" a="1"/>
  <c r="AE33" i="3" s="1"/>
  <c r="AD31" i="3"/>
  <c r="AE31" i="3" s="1" a="1"/>
  <c r="AE31" i="3" s="1"/>
  <c r="AD38" i="3"/>
  <c r="AE38" i="3" s="1" a="1"/>
  <c r="AE38" i="3" s="1"/>
  <c r="AD35" i="3"/>
  <c r="AE35" i="3" s="1" a="1"/>
  <c r="AE35" i="3" s="1"/>
  <c r="AF32" i="3"/>
  <c r="AH32" i="3" s="1" a="1"/>
  <c r="AH32" i="3" s="1"/>
  <c r="AF20" i="3"/>
  <c r="AH20" i="3" s="1" a="1"/>
  <c r="AH20" i="3" s="1"/>
  <c r="AD20" i="3"/>
  <c r="AE20" i="3" s="1"/>
  <c r="AD21" i="3"/>
  <c r="AE21" i="3" s="1" a="1"/>
  <c r="AE21" i="3" s="1"/>
  <c r="AD23" i="3"/>
  <c r="AE23" i="3" s="1" a="1"/>
  <c r="AE23" i="3" s="1"/>
  <c r="AE27" i="3" a="1"/>
  <c r="AE27" i="3" s="1"/>
  <c r="AH24" i="3" a="1"/>
  <c r="AH24" i="3" s="1"/>
  <c r="AE26" i="3" a="1"/>
  <c r="AE26" i="3" s="1"/>
  <c r="AE25" i="3" a="1"/>
  <c r="AE25" i="3" s="1"/>
  <c r="V43" i="3"/>
  <c r="W42" i="3" s="1"/>
  <c r="AD43" i="3"/>
  <c r="AE43" i="3" s="1" a="1"/>
  <c r="AE43" i="3" s="1"/>
  <c r="AD41" i="3"/>
  <c r="AE41" i="3" s="1" a="1"/>
  <c r="AE41" i="3" s="1"/>
  <c r="AF40" i="3"/>
  <c r="AH40" i="3" s="1" a="1"/>
  <c r="AH40" i="3" s="1"/>
  <c r="AD40" i="3"/>
  <c r="AE40" i="3" s="1"/>
  <c r="AD42" i="3"/>
  <c r="AE42" i="3" s="1" a="1"/>
  <c r="AE42" i="3" s="1"/>
  <c r="AE45" i="3" a="1"/>
  <c r="AE45" i="3" s="1"/>
  <c r="AH44" i="3" a="1"/>
  <c r="AH44" i="3" s="1"/>
  <c r="AE46" i="3" a="1"/>
  <c r="AE46" i="3" s="1"/>
  <c r="AE47" i="3" a="1"/>
  <c r="AE47" i="3" s="1"/>
  <c r="AE49" i="3" a="1"/>
  <c r="AE49" i="3" s="1"/>
  <c r="AE51" i="3" a="1"/>
  <c r="AE51" i="3" s="1"/>
  <c r="AE50" i="3" a="1"/>
  <c r="AE50" i="3" s="1"/>
  <c r="AH48" i="3" a="1"/>
  <c r="AH48" i="3" s="1"/>
  <c r="AE54" i="3" a="1"/>
  <c r="AE54" i="3" s="1"/>
  <c r="AD53" i="3"/>
  <c r="AE53" i="3" s="1" a="1"/>
  <c r="AE53" i="3" s="1"/>
  <c r="AD52" i="3"/>
  <c r="AE52" i="3" s="1"/>
  <c r="V55" i="3"/>
  <c r="W54" i="3" s="1"/>
  <c r="AF52" i="3"/>
  <c r="AH52" i="3" s="1" a="1"/>
  <c r="AH52" i="3" s="1"/>
  <c r="AD55" i="3"/>
  <c r="AE55" i="3" s="1" a="1"/>
  <c r="AE55" i="3" s="1"/>
  <c r="W56" i="3"/>
  <c r="AD56" i="3"/>
  <c r="AE56" i="3" s="1" a="1"/>
  <c r="AE56" i="3" s="1"/>
  <c r="AD57" i="3"/>
  <c r="AE57" i="3" s="1" a="1"/>
  <c r="AE57" i="3" s="1"/>
  <c r="AD59" i="3"/>
  <c r="AE59" i="3" s="1" a="1"/>
  <c r="AE59" i="3" s="1"/>
  <c r="AD58" i="3"/>
  <c r="AE58" i="3" s="1" a="1"/>
  <c r="AE58" i="3" s="1"/>
  <c r="AF56" i="3"/>
  <c r="AH56" i="3" s="1" a="1"/>
  <c r="AH56" i="3" s="1"/>
  <c r="AF47" i="1"/>
  <c r="AL51" i="1" s="1"/>
  <c r="AL53" i="1" l="1"/>
  <c r="AL55" i="1"/>
  <c r="AL49" i="1"/>
  <c r="AL57" i="1"/>
  <c r="AL50" i="1"/>
  <c r="AL48" i="1"/>
  <c r="AL56" i="1"/>
  <c r="AL54" i="1"/>
  <c r="AL52" i="1"/>
  <c r="AK63" i="1" l="1"/>
  <c r="AK62" i="1"/>
  <c r="AK61" i="1"/>
  <c r="AK60" i="1"/>
  <c r="AK59" i="1"/>
  <c r="AK58" i="1"/>
  <c r="AK13" i="1"/>
  <c r="AK14" i="1"/>
  <c r="AK15" i="1"/>
  <c r="AK16" i="1"/>
  <c r="AK17" i="1"/>
  <c r="AK18" i="1"/>
  <c r="AK19" i="1"/>
  <c r="AK20" i="1"/>
  <c r="AK21" i="1"/>
  <c r="AK22" i="1"/>
  <c r="AK23" i="1"/>
  <c r="A58" i="1"/>
  <c r="A59" i="1"/>
  <c r="A60" i="1"/>
  <c r="A61" i="1"/>
  <c r="A62" i="1"/>
  <c r="A63" i="1"/>
  <c r="C63" i="1"/>
  <c r="B63" i="1"/>
  <c r="C8" i="1"/>
  <c r="C61" i="1" l="1"/>
  <c r="C62" i="1"/>
  <c r="C23" i="1"/>
  <c r="B20" i="1"/>
  <c r="C44" i="3" s="1"/>
  <c r="B21" i="1"/>
  <c r="C48" i="3" s="1"/>
  <c r="B22" i="1"/>
  <c r="C32" i="3" s="1"/>
  <c r="B23" i="1"/>
  <c r="C36" i="3" s="1"/>
  <c r="A20" i="1"/>
  <c r="A21" i="1"/>
  <c r="A22" i="1"/>
  <c r="A23" i="1"/>
  <c r="F41" i="2" l="1" a="1"/>
  <c r="F41" i="2" s="1"/>
  <c r="F40" i="2" a="1"/>
  <c r="F40" i="2" s="1"/>
  <c r="F39" i="2" a="1"/>
  <c r="F39" i="2" s="1"/>
  <c r="F38" i="2" a="1"/>
  <c r="F38" i="2" s="1"/>
  <c r="F37" i="2" a="1"/>
  <c r="F37" i="2" s="1"/>
  <c r="F36" i="2" a="1"/>
  <c r="F36" i="2" s="1"/>
  <c r="F35" i="2" a="1"/>
  <c r="F35" i="2" s="1"/>
  <c r="F34" i="2" a="1"/>
  <c r="F34" i="2" s="1"/>
  <c r="F33" i="2" a="1"/>
  <c r="F33" i="2" s="1"/>
  <c r="F32" i="2" a="1"/>
  <c r="F32" i="2" s="1"/>
  <c r="F31" i="2" a="1"/>
  <c r="F31" i="2" s="1"/>
  <c r="F30" i="2" a="1"/>
  <c r="F30" i="2" s="1"/>
  <c r="F29" i="2" a="1"/>
  <c r="F29" i="2" s="1"/>
  <c r="F28" i="2" a="1"/>
  <c r="F28" i="2" s="1"/>
  <c r="F27" i="2" a="1"/>
  <c r="F27" i="2" s="1"/>
  <c r="F26" i="2" a="1"/>
  <c r="F26" i="2" s="1"/>
  <c r="T5" i="1" l="1"/>
  <c r="D7" i="1" l="1"/>
  <c r="AN23" i="1"/>
  <c r="AN17" i="1"/>
  <c r="AN15" i="1"/>
  <c r="AN20" i="1"/>
  <c r="AN11" i="1"/>
  <c r="AN9" i="1"/>
  <c r="AN8" i="1"/>
  <c r="AN13" i="1"/>
  <c r="AN19" i="1"/>
  <c r="AN21" i="1"/>
  <c r="AI23" i="1"/>
  <c r="AN10" i="1"/>
  <c r="AN12" i="1"/>
  <c r="AN14" i="1"/>
  <c r="AN16" i="1"/>
  <c r="AN18" i="1"/>
  <c r="AN22" i="1"/>
  <c r="C58" i="1"/>
  <c r="C59" i="1"/>
  <c r="C60" i="1"/>
  <c r="B58" i="1"/>
  <c r="B59" i="1"/>
  <c r="B60" i="1"/>
  <c r="B61" i="1"/>
  <c r="B62" i="1"/>
  <c r="E7" i="1" l="1"/>
  <c r="AN49" i="1"/>
  <c r="AI49" i="1" s="1"/>
  <c r="AI51" i="1"/>
  <c r="AN53" i="1"/>
  <c r="AI53" i="1" s="1"/>
  <c r="AI55" i="1"/>
  <c r="AN57" i="1"/>
  <c r="AI57" i="1" s="1"/>
  <c r="AN59" i="1"/>
  <c r="AN61" i="1"/>
  <c r="AI63" i="1"/>
  <c r="AN50" i="1"/>
  <c r="AI50" i="1" s="1"/>
  <c r="AN52" i="1"/>
  <c r="AI52" i="1" s="1"/>
  <c r="AN54" i="1"/>
  <c r="AI54" i="1" s="1"/>
  <c r="AN56" i="1"/>
  <c r="AI56" i="1" s="1"/>
  <c r="AN58" i="1"/>
  <c r="AN62" i="1"/>
  <c r="AN48" i="1"/>
  <c r="AI48" i="1" s="1"/>
  <c r="F7" i="1" l="1"/>
  <c r="T25" i="1"/>
  <c r="D27" i="1" s="1"/>
  <c r="E27" i="1" s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G27" i="1" l="1"/>
  <c r="AH27" i="1"/>
  <c r="AF27" i="1"/>
  <c r="G7" i="1"/>
  <c r="AN43" i="1"/>
  <c r="AI43" i="1" s="1"/>
  <c r="AN37" i="1"/>
  <c r="AI37" i="1" s="1"/>
  <c r="AN31" i="1"/>
  <c r="AI31" i="1" s="1"/>
  <c r="AN40" i="1"/>
  <c r="AI40" i="1" s="1"/>
  <c r="AN35" i="1"/>
  <c r="AI35" i="1" s="1"/>
  <c r="AN29" i="1"/>
  <c r="AI29" i="1" s="1"/>
  <c r="AN33" i="1"/>
  <c r="AI33" i="1" s="1"/>
  <c r="AN39" i="1"/>
  <c r="AI39" i="1" s="1"/>
  <c r="AN41" i="1"/>
  <c r="AI41" i="1" s="1"/>
  <c r="AN30" i="1"/>
  <c r="AI30" i="1" s="1"/>
  <c r="AN32" i="1"/>
  <c r="AI32" i="1" s="1"/>
  <c r="AN34" i="1"/>
  <c r="AI34" i="1" s="1"/>
  <c r="AN36" i="1"/>
  <c r="AI36" i="1" s="1"/>
  <c r="AN38" i="1"/>
  <c r="AI38" i="1" s="1"/>
  <c r="AN42" i="1"/>
  <c r="AI42" i="1" s="1"/>
  <c r="AN28" i="1"/>
  <c r="AI28" i="1" s="1"/>
  <c r="AL63" i="1"/>
  <c r="AI21" i="1"/>
  <c r="AI14" i="1"/>
  <c r="AI13" i="1"/>
  <c r="AI22" i="1"/>
  <c r="AI20" i="1"/>
  <c r="AI19" i="1"/>
  <c r="AI18" i="1"/>
  <c r="AI17" i="1"/>
  <c r="AI16" i="1"/>
  <c r="AI15" i="1"/>
  <c r="H7" i="1" l="1"/>
  <c r="I7" i="1" l="1"/>
  <c r="AL41" i="1"/>
  <c r="AL30" i="1"/>
  <c r="AL31" i="1"/>
  <c r="AL29" i="1"/>
  <c r="AL35" i="1"/>
  <c r="AL28" i="1"/>
  <c r="AL34" i="1"/>
  <c r="AL36" i="1"/>
  <c r="AL38" i="1"/>
  <c r="AL40" i="1"/>
  <c r="AL39" i="1"/>
  <c r="AL32" i="1"/>
  <c r="AL43" i="1"/>
  <c r="AL42" i="1"/>
  <c r="AL33" i="1"/>
  <c r="AL37" i="1"/>
  <c r="F1" i="1"/>
  <c r="D1" i="1"/>
  <c r="B9" i="1"/>
  <c r="B10" i="1"/>
  <c r="B11" i="1"/>
  <c r="B12" i="1"/>
  <c r="B13" i="1"/>
  <c r="C40" i="3" s="1"/>
  <c r="B14" i="1"/>
  <c r="C72" i="3" s="1"/>
  <c r="B15" i="1"/>
  <c r="C64" i="3" s="1"/>
  <c r="B16" i="1"/>
  <c r="C16" i="3" s="1"/>
  <c r="B17" i="1"/>
  <c r="C52" i="3" s="1"/>
  <c r="B18" i="1"/>
  <c r="C60" i="3" s="1"/>
  <c r="B19" i="1"/>
  <c r="C24" i="3" s="1"/>
  <c r="C9" i="1"/>
  <c r="C22" i="3" s="1"/>
  <c r="C10" i="1"/>
  <c r="C11" i="1"/>
  <c r="C12" i="1"/>
  <c r="C13" i="1"/>
  <c r="C14" i="1"/>
  <c r="C15" i="1"/>
  <c r="C16" i="1"/>
  <c r="C18" i="3" s="1"/>
  <c r="C17" i="1"/>
  <c r="C18" i="1"/>
  <c r="C19" i="1"/>
  <c r="C26" i="3" s="1"/>
  <c r="C20" i="1"/>
  <c r="C21" i="1"/>
  <c r="C22" i="1"/>
  <c r="C68" i="3" l="1"/>
  <c r="D12" i="1"/>
  <c r="E12" i="1"/>
  <c r="F12" i="1"/>
  <c r="G12" i="1"/>
  <c r="C28" i="3"/>
  <c r="D10" i="1"/>
  <c r="E10" i="1"/>
  <c r="F10" i="1"/>
  <c r="G10" i="1"/>
  <c r="I12" i="1"/>
  <c r="H10" i="1"/>
  <c r="C56" i="3"/>
  <c r="D11" i="1"/>
  <c r="E11" i="1"/>
  <c r="F11" i="1"/>
  <c r="G11" i="1"/>
  <c r="C20" i="3"/>
  <c r="D9" i="1"/>
  <c r="E9" i="1"/>
  <c r="F9" i="1"/>
  <c r="G9" i="1"/>
  <c r="H9" i="1"/>
  <c r="H11" i="1"/>
  <c r="H12" i="1"/>
  <c r="I10" i="1"/>
  <c r="I11" i="1"/>
  <c r="J7" i="1"/>
  <c r="J12" i="1" s="1"/>
  <c r="I9" i="1"/>
  <c r="A9" i="1"/>
  <c r="A10" i="1"/>
  <c r="A11" i="1"/>
  <c r="A12" i="1"/>
  <c r="A13" i="1"/>
  <c r="A14" i="1"/>
  <c r="A15" i="1"/>
  <c r="A16" i="1"/>
  <c r="A17" i="1"/>
  <c r="A18" i="1"/>
  <c r="A19" i="1"/>
  <c r="B8" i="1"/>
  <c r="A8" i="1"/>
  <c r="C76" i="3" l="1"/>
  <c r="J10" i="1"/>
  <c r="J11" i="1"/>
  <c r="K7" i="1"/>
  <c r="K12" i="1" s="1"/>
  <c r="J9" i="1"/>
  <c r="J1" i="2"/>
  <c r="K10" i="1" l="1"/>
  <c r="K11" i="1"/>
  <c r="L7" i="1"/>
  <c r="L12" i="1" s="1"/>
  <c r="K9" i="1"/>
  <c r="K8" i="1"/>
  <c r="M77" i="3" s="1"/>
  <c r="AI58" i="1"/>
  <c r="AL58" i="1"/>
  <c r="AI62" i="1"/>
  <c r="AL62" i="1"/>
  <c r="AI61" i="1"/>
  <c r="AL61" i="1"/>
  <c r="AI59" i="1"/>
  <c r="AL59" i="1"/>
  <c r="AI60" i="1"/>
  <c r="AL60" i="1"/>
  <c r="L10" i="1" l="1"/>
  <c r="L11" i="1"/>
  <c r="M7" i="1"/>
  <c r="M12" i="1" s="1"/>
  <c r="L9" i="1"/>
  <c r="L8" i="1"/>
  <c r="N77" i="3" s="1"/>
  <c r="M10" i="1" l="1"/>
  <c r="M11" i="1"/>
  <c r="N7" i="1"/>
  <c r="N12" i="1" s="1"/>
  <c r="M9" i="1"/>
  <c r="M8" i="1"/>
  <c r="O77" i="3" s="1"/>
  <c r="N10" i="1" l="1"/>
  <c r="N11" i="1"/>
  <c r="O7" i="1"/>
  <c r="O12" i="1" s="1"/>
  <c r="N9" i="1"/>
  <c r="N8" i="1"/>
  <c r="P77" i="3" s="1"/>
  <c r="O10" i="1" l="1"/>
  <c r="O11" i="1"/>
  <c r="P7" i="1"/>
  <c r="P12" i="1" s="1"/>
  <c r="O9" i="1"/>
  <c r="O8" i="1"/>
  <c r="Q77" i="3" s="1"/>
  <c r="P10" i="1" l="1"/>
  <c r="P11" i="1"/>
  <c r="Q7" i="1"/>
  <c r="Q12" i="1" s="1"/>
  <c r="P9" i="1"/>
  <c r="P8" i="1"/>
  <c r="R77" i="3" s="1"/>
  <c r="Q10" i="1" l="1"/>
  <c r="Q11" i="1"/>
  <c r="R7" i="1"/>
  <c r="R12" i="1" s="1"/>
  <c r="Q9" i="1"/>
  <c r="Q8" i="1"/>
  <c r="S77" i="3" s="1"/>
  <c r="R10" i="1" l="1"/>
  <c r="R11" i="1"/>
  <c r="S7" i="1"/>
  <c r="S12" i="1" s="1"/>
  <c r="R9" i="1"/>
  <c r="R8" i="1"/>
  <c r="T77" i="3" s="1"/>
  <c r="V77" i="3" s="1"/>
  <c r="S10" i="1" l="1"/>
  <c r="S11" i="1"/>
  <c r="T7" i="1"/>
  <c r="T12" i="1" s="1"/>
  <c r="S9" i="1"/>
  <c r="S8" i="1"/>
  <c r="F79" i="3" s="1"/>
  <c r="T10" i="1" l="1"/>
  <c r="T11" i="1"/>
  <c r="U7" i="1"/>
  <c r="U12" i="1" s="1"/>
  <c r="T9" i="1"/>
  <c r="T8" i="1"/>
  <c r="G79" i="3" s="1"/>
  <c r="U10" i="1" l="1"/>
  <c r="U11" i="1"/>
  <c r="V7" i="1"/>
  <c r="V12" i="1" s="1"/>
  <c r="U9" i="1"/>
  <c r="U8" i="1"/>
  <c r="H79" i="3" s="1"/>
  <c r="V10" i="1" l="1"/>
  <c r="V11" i="1"/>
  <c r="W7" i="1"/>
  <c r="W12" i="1" s="1"/>
  <c r="V9" i="1"/>
  <c r="V8" i="1"/>
  <c r="I79" i="3" s="1"/>
  <c r="W10" i="1" l="1"/>
  <c r="W11" i="1"/>
  <c r="X7" i="1"/>
  <c r="X12" i="1" s="1"/>
  <c r="W9" i="1"/>
  <c r="W8" i="1"/>
  <c r="J79" i="3" s="1"/>
  <c r="X10" i="1" l="1"/>
  <c r="X11" i="1"/>
  <c r="Y7" i="1"/>
  <c r="Y12" i="1" s="1"/>
  <c r="X9" i="1"/>
  <c r="X8" i="1"/>
  <c r="K79" i="3" s="1"/>
  <c r="Y10" i="1" l="1"/>
  <c r="Y11" i="1"/>
  <c r="Z7" i="1"/>
  <c r="Z12" i="1" s="1"/>
  <c r="Y9" i="1"/>
  <c r="Y8" i="1"/>
  <c r="L79" i="3" s="1"/>
  <c r="Z10" i="1" l="1"/>
  <c r="Z11" i="1"/>
  <c r="AA7" i="1"/>
  <c r="AA12" i="1" s="1"/>
  <c r="Z9" i="1"/>
  <c r="Z8" i="1"/>
  <c r="M79" i="3" s="1"/>
  <c r="AA10" i="1" l="1"/>
  <c r="AA11" i="1"/>
  <c r="AB7" i="1"/>
  <c r="AB12" i="1" s="1"/>
  <c r="AA9" i="1"/>
  <c r="AA8" i="1"/>
  <c r="N79" i="3" s="1"/>
  <c r="AB10" i="1" l="1"/>
  <c r="AB11" i="1"/>
  <c r="AC7" i="1"/>
  <c r="AC12" i="1" s="1"/>
  <c r="AB9" i="1"/>
  <c r="AB8" i="1"/>
  <c r="O79" i="3" s="1"/>
  <c r="AC10" i="1" l="1"/>
  <c r="AC11" i="1"/>
  <c r="AD7" i="1"/>
  <c r="AD12" i="1" s="1"/>
  <c r="AC9" i="1"/>
  <c r="AC8" i="1"/>
  <c r="P79" i="3" s="1"/>
  <c r="AD10" i="1" l="1"/>
  <c r="AD11" i="1"/>
  <c r="AE7" i="1"/>
  <c r="AE12" i="1" s="1"/>
  <c r="AD9" i="1"/>
  <c r="AD8" i="1"/>
  <c r="Q79" i="3" s="1"/>
  <c r="AE10" i="1" l="1"/>
  <c r="AE11" i="1"/>
  <c r="AE9" i="1"/>
  <c r="AE8" i="1"/>
  <c r="R79" i="3" s="1"/>
  <c r="AF7" i="1"/>
  <c r="AF12" i="1" s="1"/>
  <c r="AH7" i="1"/>
  <c r="AH12" i="1" s="1"/>
  <c r="AJ12" i="1" s="1"/>
  <c r="AG7" i="1"/>
  <c r="AG12" i="1" s="1"/>
  <c r="AI12" i="1" l="1"/>
  <c r="AK12" i="1"/>
  <c r="AH10" i="1"/>
  <c r="AH11" i="1"/>
  <c r="AG10" i="1"/>
  <c r="AG11" i="1"/>
  <c r="AF10" i="1"/>
  <c r="AK10" i="1" s="1"/>
  <c r="AF11" i="1"/>
  <c r="AH9" i="1"/>
  <c r="AH8" i="1"/>
  <c r="AL11" i="1"/>
  <c r="AL20" i="1"/>
  <c r="AL14" i="1"/>
  <c r="AL18" i="1"/>
  <c r="AL23" i="1"/>
  <c r="AL15" i="1"/>
  <c r="AL22" i="1"/>
  <c r="AL17" i="1"/>
  <c r="AL13" i="1"/>
  <c r="AL12" i="1"/>
  <c r="AL19" i="1"/>
  <c r="AL16" i="1"/>
  <c r="AL21" i="1"/>
  <c r="AG9" i="1"/>
  <c r="AG8" i="1"/>
  <c r="T79" i="3" s="1"/>
  <c r="AF9" i="1"/>
  <c r="AF8" i="1"/>
  <c r="S79" i="3" s="1"/>
  <c r="AD77" i="3" l="1"/>
  <c r="AE77" i="3" s="1" a="1"/>
  <c r="AE77" i="3" s="1"/>
  <c r="AF76" i="3"/>
  <c r="AH76" i="3" s="1" a="1"/>
  <c r="AH76" i="3" s="1"/>
  <c r="AD76" i="3"/>
  <c r="AE76" i="3" s="1" a="1"/>
  <c r="AE76" i="3" s="1"/>
  <c r="AD79" i="3"/>
  <c r="AE79" i="3" s="1" a="1"/>
  <c r="AE79" i="3" s="1"/>
  <c r="AD78" i="3"/>
  <c r="AE78" i="3" s="1" a="1"/>
  <c r="AE78" i="3" s="1"/>
  <c r="V79" i="3"/>
  <c r="W78" i="3" s="1"/>
  <c r="AJ9" i="1"/>
  <c r="AJ11" i="1"/>
  <c r="AJ8" i="1"/>
  <c r="AI8" i="1" s="1"/>
  <c r="AJ10" i="1"/>
  <c r="AI10" i="1" s="1"/>
  <c r="AL8" i="1"/>
  <c r="AL10" i="1"/>
  <c r="AK11" i="1"/>
  <c r="AI11" i="1"/>
  <c r="AK8" i="1"/>
  <c r="AK9" i="1"/>
  <c r="AI9" i="1"/>
  <c r="AL9" i="1"/>
  <c r="V17" i="3"/>
  <c r="Z16" i="3" s="1"/>
  <c r="V16" i="3"/>
  <c r="AD17" i="3"/>
  <c r="AE17" i="3" s="1" a="1"/>
  <c r="AE17" i="3" s="1"/>
  <c r="V19" i="3"/>
  <c r="W18" i="3" s="1"/>
  <c r="AF16" i="3"/>
  <c r="AH16" i="3" s="1" a="1"/>
  <c r="AH16" i="3" s="1"/>
  <c r="AD18" i="3"/>
  <c r="AE18" i="3" s="1" a="1"/>
  <c r="AE18" i="3" s="1"/>
  <c r="V18" i="3"/>
  <c r="W16" i="3" s="1"/>
</calcChain>
</file>

<file path=xl/sharedStrings.xml><?xml version="1.0" encoding="utf-8"?>
<sst xmlns="http://schemas.openxmlformats.org/spreadsheetml/2006/main" count="259" uniqueCount="114">
  <si>
    <t>май</t>
  </si>
  <si>
    <t>г.</t>
  </si>
  <si>
    <t>таб №</t>
  </si>
  <si>
    <t>Ф. И. О.</t>
  </si>
  <si>
    <t>Месяц</t>
  </si>
  <si>
    <t>Число</t>
  </si>
  <si>
    <t>Год</t>
  </si>
  <si>
    <t>Наименование праздников</t>
  </si>
  <si>
    <t>Предпраздничные сокращенные дни</t>
  </si>
  <si>
    <t>Нерабочий праздничный день</t>
  </si>
  <si>
    <t>Перенесенные выходные дни</t>
  </si>
  <si>
    <t xml:space="preserve">Рабочие выходные </t>
  </si>
  <si>
    <t>Норма муж.</t>
  </si>
  <si>
    <t>Норма жен.</t>
  </si>
  <si>
    <t>январь</t>
  </si>
  <si>
    <t>Новый год</t>
  </si>
  <si>
    <t>февраль</t>
  </si>
  <si>
    <t>март</t>
  </si>
  <si>
    <t>апрель</t>
  </si>
  <si>
    <t>июнь</t>
  </si>
  <si>
    <t>июль</t>
  </si>
  <si>
    <t>Рождество</t>
  </si>
  <si>
    <t>август</t>
  </si>
  <si>
    <t>сентябрь</t>
  </si>
  <si>
    <t>Защитник</t>
  </si>
  <si>
    <t>октябрь</t>
  </si>
  <si>
    <t>Международный</t>
  </si>
  <si>
    <t>ноябрь</t>
  </si>
  <si>
    <t>декабрь</t>
  </si>
  <si>
    <t>Весна и туд</t>
  </si>
  <si>
    <t>День Победы</t>
  </si>
  <si>
    <t>День России</t>
  </si>
  <si>
    <t>День единства</t>
  </si>
  <si>
    <t>Ф.И.О.</t>
  </si>
  <si>
    <t>Отпуск</t>
  </si>
  <si>
    <t>Дней</t>
  </si>
  <si>
    <t>Конец отпуска расчет</t>
  </si>
  <si>
    <t>Расчет:</t>
  </si>
  <si>
    <t>*Год графика:</t>
  </si>
  <si>
    <t>*Первый месяц квартала:</t>
  </si>
  <si>
    <t xml:space="preserve">                     График работы персонала</t>
  </si>
  <si>
    <t>Рабочий календарь</t>
  </si>
  <si>
    <t>участка № 5  на</t>
  </si>
  <si>
    <t>норма по ПФРВ</t>
  </si>
  <si>
    <t>всего по графику</t>
  </si>
  <si>
    <t>ночных</t>
  </si>
  <si>
    <t>праздничных</t>
  </si>
  <si>
    <t>ОТ, ПМ,Б</t>
  </si>
  <si>
    <t>Норма</t>
  </si>
  <si>
    <t>Профессия/должность</t>
  </si>
  <si>
    <t>Профессия /должность</t>
  </si>
  <si>
    <t>Таб.номер</t>
  </si>
  <si>
    <t>Отчетный период</t>
  </si>
  <si>
    <t>с</t>
  </si>
  <si>
    <t>по</t>
  </si>
  <si>
    <t>Номер
 по порядку</t>
  </si>
  <si>
    <t>Табельный
номер</t>
  </si>
  <si>
    <t>Ставка</t>
  </si>
  <si>
    <t>Отметки о явках и неявках на работу по числам месяца</t>
  </si>
  <si>
    <t>Отработано за</t>
  </si>
  <si>
    <t>Данные для начисления заработной платы
по видам и направлениям затрат</t>
  </si>
  <si>
    <t>Неявки по причинам</t>
  </si>
  <si>
    <t>Х</t>
  </si>
  <si>
    <t>половину
месяца
(I, II)</t>
  </si>
  <si>
    <t>месяц</t>
  </si>
  <si>
    <t>код вида оплаты</t>
  </si>
  <si>
    <t>код</t>
  </si>
  <si>
    <t>дни, часы</t>
  </si>
  <si>
    <t>корреспондирующий счет, заказ</t>
  </si>
  <si>
    <t>дни</t>
  </si>
  <si>
    <t>код
вида
оплаты</t>
  </si>
  <si>
    <t>корр. счет, заказ</t>
  </si>
  <si>
    <t>дни,
часы</t>
  </si>
  <si>
    <t>часы</t>
  </si>
  <si>
    <t>1</t>
  </si>
  <si>
    <t>X</t>
  </si>
  <si>
    <t>ТАБЕЛЬ</t>
  </si>
  <si>
    <t>учета рабочего времени за</t>
  </si>
  <si>
    <t>год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</si>
  <si>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</si>
  <si>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</si>
  <si>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</si>
  <si>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</si>
  <si>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</si>
  <si>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</si>
  <si>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</si>
  <si>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</si>
  <si>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</si>
  <si>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</si>
  <si>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</si>
  <si>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</si>
  <si>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</si>
  <si>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</si>
  <si>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</si>
  <si>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Фамилия, инициалы, должность (специальность, профессия)
(профессия, должность)</t>
  </si>
  <si>
    <t>Начальник участка</t>
  </si>
  <si>
    <t>Инженер</t>
  </si>
  <si>
    <t>Электромеханик</t>
  </si>
  <si>
    <t>Электромонтер</t>
  </si>
  <si>
    <t>Телефонист</t>
  </si>
  <si>
    <t>В</t>
  </si>
  <si>
    <t>ВМ</t>
  </si>
  <si>
    <t>О</t>
  </si>
  <si>
    <t>х</t>
  </si>
  <si>
    <t>Оп</t>
  </si>
  <si>
    <t>П</t>
  </si>
  <si>
    <t>Ов</t>
  </si>
  <si>
    <t>Надо так!!!</t>
  </si>
  <si>
    <t>Петров</t>
  </si>
  <si>
    <t>в</t>
  </si>
  <si>
    <t>7,5/4</t>
  </si>
  <si>
    <t>ОТ</t>
  </si>
  <si>
    <t>Надо, чтобы вместо 7,5/4 (ночная смена)  стояло 11,5,</t>
  </si>
  <si>
    <t>Как мне сделать,чтобы 11 проставлялось из графика, а ВМ проставлялась автоматически, выходной  не копировался, но В проставлялась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</si>
</sst>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d"/>
    <numFmt numFmtId="166" formatCode="dd/mm/yyyy\ ddd"/>
    <numFmt numFmtId="167" formatCode="mmm"/>
    <numFmt numFmtId="168" formatCode="mmmm"/>
  </numFmts>
  <fonts count="33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family val="2"/>
      <charset val="204"/>
    </font>
    <font>
      <sz val="12"/>
      <color rgb="FF000000"/>
      <name val="Verdana"/>
      <family val="2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rgb="FFFFFF0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53"/>
      <name val="Times New Roman"/>
      <family val="1"/>
      <charset val="204"/>
    </font>
    <font>
      <b/>
      <sz val="10"/>
      <color indexed="6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12"/>
      <name val="Times New Roman"/>
      <family val="1"/>
      <charset val="204"/>
    </font>
    <font>
      <b/>
      <sz val="10"/>
      <color indexed="63"/>
      <name val="Times New Roman"/>
      <family val="1"/>
      <charset val="204"/>
    </font>
    <font>
      <sz val="18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EC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1" fillId="0" borderId="0" applyNumberFormat="0" applyFill="0" applyBorder="0" applyAlignment="0" applyProtection="0"/>
  </cellStyleXfs>
  <cellXfs count="311">
    <xf numFmtId="0" fontId="0" fillId="0" borderId="0" xfId="0"/>
    <xf numFmtId="0" fontId="3" fillId="0" borderId="0" xfId="1" applyFont="1"/>
    <xf numFmtId="0" fontId="3" fillId="0" borderId="0" xfId="1" applyFont="1" applyAlignment="1"/>
    <xf numFmtId="1" fontId="3" fillId="0" borderId="0" xfId="1" applyNumberFormat="1" applyFont="1"/>
    <xf numFmtId="164" fontId="3" fillId="0" borderId="0" xfId="1" applyNumberFormat="1" applyFont="1"/>
    <xf numFmtId="1" fontId="5" fillId="0" borderId="0" xfId="1" applyNumberFormat="1" applyFont="1"/>
    <xf numFmtId="1" fontId="4" fillId="0" borderId="0" xfId="1" applyNumberFormat="1" applyFont="1"/>
    <xf numFmtId="1" fontId="5" fillId="0" borderId="0" xfId="1" applyNumberFormat="1" applyFont="1" applyAlignment="1"/>
    <xf numFmtId="0" fontId="7" fillId="0" borderId="0" xfId="1" applyFont="1"/>
    <xf numFmtId="165" fontId="5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1" applyFont="1" applyFill="1"/>
    <xf numFmtId="0" fontId="5" fillId="0" borderId="2" xfId="2" applyFont="1" applyFill="1" applyBorder="1" applyAlignment="1">
      <alignment horizontal="center" vertical="center" shrinkToFit="1"/>
    </xf>
    <xf numFmtId="0" fontId="5" fillId="0" borderId="2" xfId="2" applyFont="1" applyFill="1" applyBorder="1" applyAlignment="1">
      <alignment horizontal="left" vertical="center"/>
    </xf>
    <xf numFmtId="164" fontId="5" fillId="0" borderId="2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vertical="center"/>
    </xf>
    <xf numFmtId="0" fontId="5" fillId="2" borderId="2" xfId="1" applyFont="1" applyFill="1" applyBorder="1" applyAlignment="1">
      <alignment horizontal="center" vertical="center"/>
    </xf>
    <xf numFmtId="164" fontId="9" fillId="3" borderId="2" xfId="4" applyNumberFormat="1" applyFont="1" applyFill="1" applyBorder="1" applyAlignment="1">
      <alignment horizontal="center" vertical="top" wrapText="1"/>
    </xf>
    <xf numFmtId="164" fontId="5" fillId="2" borderId="2" xfId="1" applyNumberFormat="1" applyFont="1" applyFill="1" applyBorder="1" applyAlignment="1">
      <alignment horizontal="center" vertical="center"/>
    </xf>
    <xf numFmtId="0" fontId="12" fillId="0" borderId="0" xfId="0" applyFont="1"/>
    <xf numFmtId="14" fontId="0" fillId="0" borderId="0" xfId="0" applyNumberFormat="1"/>
    <xf numFmtId="0" fontId="13" fillId="0" borderId="0" xfId="1" applyFont="1"/>
    <xf numFmtId="0" fontId="13" fillId="0" borderId="0" xfId="1" applyFont="1" applyAlignment="1"/>
    <xf numFmtId="1" fontId="13" fillId="0" borderId="0" xfId="1" applyNumberFormat="1" applyFont="1"/>
    <xf numFmtId="1" fontId="13" fillId="0" borderId="0" xfId="1" applyNumberFormat="1" applyFont="1" applyAlignment="1"/>
    <xf numFmtId="164" fontId="13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164" fontId="5" fillId="0" borderId="2" xfId="1" applyNumberFormat="1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left" vertical="center" shrinkToFit="1"/>
    </xf>
    <xf numFmtId="0" fontId="5" fillId="0" borderId="2" xfId="2" applyFont="1" applyFill="1" applyBorder="1" applyAlignment="1">
      <alignment horizontal="left" vertical="center" wrapText="1" shrinkToFit="1"/>
    </xf>
    <xf numFmtId="0" fontId="0" fillId="0" borderId="0" xfId="0" applyBorder="1"/>
    <xf numFmtId="1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locked="0"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0" fontId="3" fillId="0" borderId="2" xfId="1" applyFont="1" applyBorder="1"/>
    <xf numFmtId="164" fontId="5" fillId="0" borderId="2" xfId="3" applyNumberFormat="1" applyFont="1" applyFill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  <protection locked="0" hidden="1"/>
    </xf>
    <xf numFmtId="0" fontId="5" fillId="0" borderId="2" xfId="0" quotePrefix="1" applyFont="1" applyFill="1" applyBorder="1" applyAlignment="1" applyProtection="1">
      <alignment horizontal="center" vertical="center" wrapText="1"/>
      <protection locked="0" hidden="1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2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164" fontId="9" fillId="0" borderId="2" xfId="4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center" shrinkToFit="1"/>
    </xf>
    <xf numFmtId="0" fontId="5" fillId="0" borderId="2" xfId="1" applyFont="1" applyFill="1" applyBorder="1" applyAlignment="1">
      <alignment vertical="center"/>
    </xf>
    <xf numFmtId="0" fontId="5" fillId="0" borderId="2" xfId="1" applyFont="1" applyFill="1" applyBorder="1" applyAlignment="1">
      <alignment horizontal="left" vertical="center"/>
    </xf>
    <xf numFmtId="0" fontId="3" fillId="0" borderId="2" xfId="1" applyFont="1" applyFill="1" applyBorder="1"/>
    <xf numFmtId="0" fontId="8" fillId="0" borderId="2" xfId="2" applyFont="1" applyFill="1" applyBorder="1" applyAlignment="1">
      <alignment horizontal="center" vertical="center" wrapText="1" shrinkToFit="1"/>
    </xf>
    <xf numFmtId="0" fontId="8" fillId="0" borderId="2" xfId="2" applyFont="1" applyFill="1" applyBorder="1" applyAlignment="1">
      <alignment horizontal="center" vertical="center" wrapText="1"/>
    </xf>
    <xf numFmtId="167" fontId="16" fillId="0" borderId="2" xfId="7" applyNumberFormat="1" applyFont="1" applyFill="1" applyBorder="1" applyAlignment="1" applyProtection="1">
      <alignment horizontal="center" vertical="center"/>
      <protection hidden="1"/>
    </xf>
    <xf numFmtId="0" fontId="8" fillId="0" borderId="0" xfId="1" applyFont="1" applyAlignment="1">
      <alignment horizontal="center"/>
    </xf>
    <xf numFmtId="0" fontId="8" fillId="0" borderId="3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14" fontId="6" fillId="0" borderId="2" xfId="0" applyNumberFormat="1" applyFont="1" applyFill="1" applyBorder="1" applyAlignment="1" applyProtection="1">
      <alignment horizontal="center" vertical="center"/>
      <protection locked="0" hidden="1"/>
    </xf>
    <xf numFmtId="0" fontId="17" fillId="2" borderId="2" xfId="1" applyFont="1" applyFill="1" applyBorder="1" applyAlignment="1">
      <alignment horizontal="center" vertical="center" wrapText="1"/>
    </xf>
    <xf numFmtId="166" fontId="5" fillId="0" borderId="0" xfId="1" applyNumberFormat="1" applyFont="1" applyFill="1" applyBorder="1" applyAlignment="1">
      <alignment horizontal="center" vertical="center"/>
    </xf>
    <xf numFmtId="15" fontId="5" fillId="0" borderId="0" xfId="1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17" fillId="5" borderId="2" xfId="1" applyFont="1" applyFill="1" applyBorder="1" applyAlignment="1">
      <alignment horizontal="center" vertical="center" wrapText="1"/>
    </xf>
    <xf numFmtId="166" fontId="5" fillId="5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166" fontId="5" fillId="4" borderId="2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17" fillId="6" borderId="2" xfId="1" applyFont="1" applyFill="1" applyBorder="1" applyAlignment="1">
      <alignment horizontal="center" vertical="center" wrapText="1"/>
    </xf>
    <xf numFmtId="15" fontId="5" fillId="6" borderId="2" xfId="1" applyNumberFormat="1" applyFont="1" applyFill="1" applyBorder="1" applyAlignment="1">
      <alignment horizontal="center" vertical="center"/>
    </xf>
    <xf numFmtId="166" fontId="5" fillId="6" borderId="2" xfId="1" applyNumberFormat="1" applyFont="1" applyFill="1" applyBorder="1" applyAlignment="1">
      <alignment horizontal="center" vertical="center"/>
    </xf>
    <xf numFmtId="0" fontId="6" fillId="7" borderId="2" xfId="1" applyFont="1" applyFill="1" applyBorder="1" applyAlignment="1">
      <alignment horizontal="center" vertical="center" wrapText="1"/>
    </xf>
    <xf numFmtId="0" fontId="17" fillId="7" borderId="2" xfId="1" applyFont="1" applyFill="1" applyBorder="1" applyAlignment="1">
      <alignment horizontal="center" vertical="center" wrapText="1"/>
    </xf>
    <xf numFmtId="166" fontId="5" fillId="7" borderId="2" xfId="1" applyNumberFormat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NumberFormat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8" fillId="0" borderId="0" xfId="5" applyFont="1" applyProtection="1">
      <protection locked="0"/>
    </xf>
    <xf numFmtId="0" fontId="2" fillId="0" borderId="0" xfId="5" applyProtection="1">
      <protection locked="0"/>
    </xf>
    <xf numFmtId="0" fontId="19" fillId="0" borderId="0" xfId="5" applyFont="1" applyFill="1" applyBorder="1" applyAlignment="1" applyProtection="1">
      <alignment vertical="top"/>
      <protection locked="0"/>
    </xf>
    <xf numFmtId="0" fontId="19" fillId="0" borderId="0" xfId="5" applyFont="1" applyFill="1" applyBorder="1" applyAlignment="1" applyProtection="1">
      <protection locked="0"/>
    </xf>
    <xf numFmtId="0" fontId="19" fillId="0" borderId="0" xfId="5" applyFont="1" applyFill="1" applyProtection="1">
      <protection locked="0"/>
    </xf>
    <xf numFmtId="0" fontId="19" fillId="0" borderId="0" xfId="5" applyFont="1" applyFill="1" applyBorder="1" applyProtection="1">
      <protection locked="0"/>
    </xf>
    <xf numFmtId="0" fontId="2" fillId="0" borderId="0" xfId="5" applyFont="1" applyFill="1" applyBorder="1" applyProtection="1">
      <protection locked="0"/>
    </xf>
    <xf numFmtId="0" fontId="19" fillId="0" borderId="0" xfId="5" applyFont="1" applyBorder="1" applyProtection="1">
      <protection locked="0"/>
    </xf>
    <xf numFmtId="0" fontId="19" fillId="0" borderId="0" xfId="5" applyFont="1" applyBorder="1" applyAlignment="1" applyProtection="1">
      <alignment vertical="top"/>
      <protection locked="0"/>
    </xf>
    <xf numFmtId="0" fontId="5" fillId="0" borderId="0" xfId="5" applyFont="1" applyFill="1" applyBorder="1" applyAlignment="1" applyProtection="1">
      <alignment vertical="center"/>
      <protection locked="0"/>
    </xf>
    <xf numFmtId="0" fontId="3" fillId="0" borderId="0" xfId="5" applyFont="1" applyFill="1" applyProtection="1">
      <protection locked="0"/>
    </xf>
    <xf numFmtId="0" fontId="3" fillId="0" borderId="0" xfId="5" applyFont="1" applyProtection="1">
      <protection locked="0"/>
    </xf>
    <xf numFmtId="0" fontId="3" fillId="0" borderId="0" xfId="5" applyFont="1" applyFill="1" applyBorder="1" applyAlignment="1" applyProtection="1">
      <alignment horizontal="center" vertical="center"/>
      <protection locked="0"/>
    </xf>
    <xf numFmtId="0" fontId="3" fillId="0" borderId="0" xfId="5" applyFont="1" applyFill="1" applyBorder="1" applyAlignment="1" applyProtection="1">
      <alignment vertical="center"/>
      <protection locked="0"/>
    </xf>
    <xf numFmtId="0" fontId="3" fillId="0" borderId="0" xfId="5" applyFont="1" applyFill="1" applyBorder="1" applyAlignment="1" applyProtection="1">
      <alignment vertical="center" wrapText="1"/>
      <protection locked="0"/>
    </xf>
    <xf numFmtId="0" fontId="3" fillId="0" borderId="0" xfId="5" applyFont="1" applyAlignment="1" applyProtection="1">
      <alignment vertical="center"/>
      <protection locked="0"/>
    </xf>
    <xf numFmtId="0" fontId="3" fillId="0" borderId="0" xfId="5" applyFont="1" applyAlignment="1" applyProtection="1">
      <alignment horizontal="center" vertical="center"/>
      <protection locked="0"/>
    </xf>
    <xf numFmtId="0" fontId="3" fillId="0" borderId="0" xfId="5" applyFont="1" applyFill="1" applyAlignment="1" applyProtection="1">
      <alignment vertical="center"/>
      <protection locked="0"/>
    </xf>
    <xf numFmtId="14" fontId="17" fillId="0" borderId="0" xfId="5" applyNumberFormat="1" applyFont="1" applyFill="1" applyBorder="1" applyAlignment="1" applyProtection="1">
      <protection locked="0"/>
    </xf>
    <xf numFmtId="0" fontId="4" fillId="0" borderId="0" xfId="5" applyFont="1" applyFill="1" applyAlignment="1" applyProtection="1">
      <alignment horizontal="center" vertical="center" wrapText="1"/>
      <protection locked="0"/>
    </xf>
    <xf numFmtId="0" fontId="20" fillId="0" borderId="0" xfId="5" applyFont="1" applyFill="1" applyBorder="1" applyAlignment="1" applyProtection="1">
      <alignment horizontal="center" vertical="center" wrapText="1"/>
      <protection locked="0"/>
    </xf>
    <xf numFmtId="0" fontId="18" fillId="0" borderId="0" xfId="5" applyFont="1" applyFill="1" applyProtection="1">
      <protection locked="0"/>
    </xf>
    <xf numFmtId="0" fontId="3" fillId="0" borderId="27" xfId="5" applyFont="1" applyFill="1" applyBorder="1" applyAlignment="1" applyProtection="1">
      <alignment horizontal="center" vertical="center" wrapText="1"/>
      <protection locked="0"/>
    </xf>
    <xf numFmtId="0" fontId="3" fillId="0" borderId="28" xfId="5" applyFont="1" applyFill="1" applyBorder="1" applyAlignment="1" applyProtection="1">
      <alignment horizontal="center" vertical="center" wrapText="1"/>
      <protection locked="0"/>
    </xf>
    <xf numFmtId="0" fontId="3" fillId="0" borderId="29" xfId="5" applyFont="1" applyFill="1" applyBorder="1" applyAlignment="1" applyProtection="1">
      <alignment horizontal="center" vertical="center" wrapText="1"/>
      <protection locked="0"/>
    </xf>
    <xf numFmtId="0" fontId="3" fillId="0" borderId="29" xfId="5" applyFont="1" applyFill="1" applyBorder="1" applyAlignment="1" applyProtection="1">
      <alignment horizontal="center" vertical="center"/>
      <protection locked="0"/>
    </xf>
    <xf numFmtId="0" fontId="3" fillId="0" borderId="27" xfId="5" applyFont="1" applyFill="1" applyBorder="1" applyAlignment="1" applyProtection="1">
      <alignment horizontal="center" vertical="center"/>
      <protection locked="0"/>
    </xf>
    <xf numFmtId="0" fontId="3" fillId="0" borderId="28" xfId="5" applyFont="1" applyFill="1" applyBorder="1" applyAlignment="1" applyProtection="1">
      <alignment horizontal="center" vertical="center"/>
      <protection locked="0"/>
    </xf>
    <xf numFmtId="0" fontId="3" fillId="0" borderId="30" xfId="5" applyFont="1" applyFill="1" applyBorder="1" applyAlignment="1" applyProtection="1">
      <alignment horizontal="center" vertical="center" wrapText="1"/>
      <protection locked="0"/>
    </xf>
    <xf numFmtId="0" fontId="22" fillId="0" borderId="0" xfId="5" applyFont="1" applyFill="1" applyBorder="1" applyProtection="1">
      <protection locked="0"/>
    </xf>
    <xf numFmtId="0" fontId="23" fillId="0" borderId="0" xfId="5" applyFont="1" applyFill="1" applyBorder="1" applyProtection="1">
      <protection locked="0"/>
    </xf>
    <xf numFmtId="0" fontId="3" fillId="0" borderId="0" xfId="5" applyNumberFormat="1" applyFont="1" applyAlignment="1" applyProtection="1">
      <alignment vertical="center"/>
      <protection locked="0"/>
    </xf>
    <xf numFmtId="0" fontId="25" fillId="0" borderId="0" xfId="5" applyFont="1" applyAlignment="1" applyProtection="1">
      <alignment vertical="center"/>
      <protection locked="0"/>
    </xf>
    <xf numFmtId="0" fontId="26" fillId="0" borderId="0" xfId="5" applyFont="1" applyAlignment="1" applyProtection="1">
      <alignment vertical="center"/>
      <protection locked="0"/>
    </xf>
    <xf numFmtId="0" fontId="25" fillId="0" borderId="0" xfId="5" applyFont="1" applyAlignment="1" applyProtection="1">
      <alignment horizontal="center" vertical="center"/>
      <protection locked="0"/>
    </xf>
    <xf numFmtId="0" fontId="25" fillId="0" borderId="0" xfId="5" applyNumberFormat="1" applyFont="1" applyAlignment="1" applyProtection="1">
      <alignment vertical="center"/>
      <protection locked="0"/>
    </xf>
    <xf numFmtId="0" fontId="17" fillId="0" borderId="0" xfId="5" applyFont="1" applyAlignment="1" applyProtection="1">
      <alignment vertical="center"/>
      <protection locked="0"/>
    </xf>
    <xf numFmtId="0" fontId="27" fillId="0" borderId="0" xfId="5" applyFont="1" applyAlignment="1" applyProtection="1">
      <alignment vertical="center"/>
      <protection locked="0"/>
    </xf>
    <xf numFmtId="0" fontId="28" fillId="0" borderId="0" xfId="5" applyFont="1" applyAlignment="1" applyProtection="1">
      <alignment vertical="center"/>
      <protection locked="0"/>
    </xf>
    <xf numFmtId="0" fontId="29" fillId="0" borderId="0" xfId="5" applyFont="1" applyAlignment="1" applyProtection="1">
      <alignment vertical="center"/>
      <protection locked="0"/>
    </xf>
    <xf numFmtId="0" fontId="30" fillId="0" borderId="0" xfId="5" applyFont="1" applyAlignment="1" applyProtection="1">
      <alignment vertical="center"/>
      <protection locked="0"/>
    </xf>
    <xf numFmtId="0" fontId="31" fillId="0" borderId="0" xfId="5" applyFont="1" applyAlignment="1" applyProtection="1">
      <alignment vertical="center"/>
      <protection locked="0"/>
    </xf>
    <xf numFmtId="0" fontId="21" fillId="0" borderId="0" xfId="5" applyFont="1" applyFill="1" applyAlignment="1" applyProtection="1">
      <alignment vertical="center" wrapText="1"/>
      <protection locked="0"/>
    </xf>
    <xf numFmtId="0" fontId="4" fillId="0" borderId="1" xfId="5" applyFont="1" applyFill="1" applyBorder="1" applyAlignment="1" applyProtection="1">
      <alignment vertical="center" wrapText="1"/>
      <protection locked="0"/>
    </xf>
    <xf numFmtId="0" fontId="3" fillId="0" borderId="0" xfId="5" applyFont="1" applyFill="1" applyAlignment="1" applyProtection="1">
      <alignment vertical="center" wrapText="1"/>
      <protection locked="0"/>
    </xf>
    <xf numFmtId="165" fontId="5" fillId="0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42" xfId="5" applyFont="1" applyFill="1" applyBorder="1" applyAlignment="1" applyProtection="1">
      <alignment horizontal="center" vertical="center"/>
      <protection locked="0"/>
    </xf>
    <xf numFmtId="0" fontId="3" fillId="0" borderId="14" xfId="5" applyFont="1" applyFill="1" applyBorder="1" applyAlignment="1" applyProtection="1">
      <alignment horizontal="center" vertical="center"/>
    </xf>
    <xf numFmtId="0" fontId="3" fillId="0" borderId="42" xfId="5" applyFont="1" applyFill="1" applyBorder="1" applyAlignment="1" applyProtection="1">
      <alignment horizontal="center" vertical="center"/>
    </xf>
    <xf numFmtId="0" fontId="3" fillId="0" borderId="31" xfId="5" applyFont="1" applyFill="1" applyBorder="1" applyAlignment="1" applyProtection="1">
      <alignment horizontal="center" vertical="center"/>
      <protection locked="0"/>
    </xf>
    <xf numFmtId="0" fontId="3" fillId="0" borderId="18" xfId="5" applyFont="1" applyFill="1" applyBorder="1" applyAlignment="1" applyProtection="1">
      <alignment horizontal="center" vertical="center"/>
      <protection locked="0"/>
    </xf>
    <xf numFmtId="0" fontId="3" fillId="0" borderId="3" xfId="5" applyFont="1" applyFill="1" applyBorder="1" applyAlignment="1" applyProtection="1">
      <alignment horizontal="center" vertical="center"/>
      <protection locked="0"/>
    </xf>
    <xf numFmtId="0" fontId="3" fillId="0" borderId="34" xfId="5" applyNumberFormat="1" applyFont="1" applyFill="1" applyBorder="1" applyAlignment="1" applyProtection="1">
      <alignment horizontal="center" vertical="center"/>
      <protection locked="0"/>
    </xf>
    <xf numFmtId="164" fontId="3" fillId="0" borderId="11" xfId="5" applyNumberFormat="1" applyFont="1" applyFill="1" applyBorder="1" applyAlignment="1" applyProtection="1">
      <alignment horizontal="center" vertical="center"/>
    </xf>
    <xf numFmtId="164" fontId="3" fillId="0" borderId="15" xfId="5" applyNumberFormat="1" applyFont="1" applyFill="1" applyBorder="1" applyAlignment="1" applyProtection="1">
      <alignment horizontal="center" vertical="center"/>
      <protection locked="0"/>
    </xf>
    <xf numFmtId="164" fontId="3" fillId="0" borderId="12" xfId="5" applyNumberFormat="1" applyFont="1" applyFill="1" applyBorder="1" applyAlignment="1" applyProtection="1">
      <alignment vertical="center"/>
      <protection locked="0"/>
    </xf>
    <xf numFmtId="164" fontId="3" fillId="0" borderId="12" xfId="5" applyNumberFormat="1" applyFont="1" applyFill="1" applyBorder="1" applyAlignment="1" applyProtection="1">
      <alignment horizontal="center" vertical="center"/>
      <protection locked="0"/>
    </xf>
    <xf numFmtId="164" fontId="3" fillId="0" borderId="13" xfId="5" applyNumberFormat="1" applyFont="1" applyFill="1" applyBorder="1" applyAlignment="1" applyProtection="1">
      <alignment vertical="center"/>
      <protection locked="0"/>
    </xf>
    <xf numFmtId="164" fontId="3" fillId="0" borderId="12" xfId="5" applyNumberFormat="1" applyFont="1" applyFill="1" applyBorder="1" applyAlignment="1" applyProtection="1">
      <alignment horizontal="center" vertical="center"/>
    </xf>
    <xf numFmtId="164" fontId="3" fillId="0" borderId="2" xfId="0" applyNumberFormat="1" applyFont="1" applyFill="1" applyBorder="1" applyAlignment="1" applyProtection="1">
      <alignment horizontal="center" vertical="center" shrinkToFit="1"/>
    </xf>
    <xf numFmtId="164" fontId="3" fillId="2" borderId="2" xfId="0" applyNumberFormat="1" applyFont="1" applyFill="1" applyBorder="1" applyAlignment="1" applyProtection="1">
      <alignment horizontal="center" vertical="center" shrinkToFit="1"/>
    </xf>
    <xf numFmtId="164" fontId="3" fillId="0" borderId="17" xfId="5" applyNumberFormat="1" applyFont="1" applyFill="1" applyBorder="1" applyAlignment="1" applyProtection="1">
      <alignment horizontal="center" vertical="center"/>
    </xf>
    <xf numFmtId="164" fontId="3" fillId="0" borderId="10" xfId="5" applyNumberFormat="1" applyFont="1" applyFill="1" applyBorder="1" applyAlignment="1" applyProtection="1">
      <alignment horizontal="center" vertical="center"/>
      <protection locked="0"/>
    </xf>
    <xf numFmtId="164" fontId="3" fillId="0" borderId="2" xfId="5" applyNumberFormat="1" applyFont="1" applyFill="1" applyBorder="1" applyAlignment="1" applyProtection="1">
      <alignment vertical="center"/>
      <protection locked="0"/>
    </xf>
    <xf numFmtId="164" fontId="3" fillId="0" borderId="2" xfId="5" applyNumberFormat="1" applyFont="1" applyFill="1" applyBorder="1" applyAlignment="1" applyProtection="1">
      <alignment horizontal="center" vertical="center"/>
      <protection locked="0"/>
    </xf>
    <xf numFmtId="164" fontId="3" fillId="0" borderId="9" xfId="5" applyNumberFormat="1" applyFont="1" applyFill="1" applyBorder="1" applyAlignment="1" applyProtection="1">
      <alignment vertical="center"/>
      <protection locked="0"/>
    </xf>
    <xf numFmtId="164" fontId="3" fillId="0" borderId="16" xfId="5" applyNumberFormat="1" applyFont="1" applyFill="1" applyBorder="1" applyAlignment="1" applyProtection="1">
      <alignment horizontal="center" vertical="center"/>
    </xf>
    <xf numFmtId="164" fontId="3" fillId="0" borderId="2" xfId="5" applyNumberFormat="1" applyFont="1" applyFill="1" applyBorder="1" applyAlignment="1" applyProtection="1">
      <alignment horizontal="center" vertical="center"/>
    </xf>
    <xf numFmtId="164" fontId="3" fillId="0" borderId="27" xfId="5" applyNumberFormat="1" applyFont="1" applyFill="1" applyBorder="1" applyAlignment="1" applyProtection="1">
      <alignment horizontal="center" vertical="center"/>
    </xf>
    <xf numFmtId="164" fontId="3" fillId="0" borderId="30" xfId="5" applyNumberFormat="1" applyFont="1" applyFill="1" applyBorder="1" applyAlignment="1" applyProtection="1">
      <alignment horizontal="center" vertical="center"/>
      <protection locked="0"/>
    </xf>
    <xf numFmtId="164" fontId="3" fillId="0" borderId="28" xfId="5" applyNumberFormat="1" applyFont="1" applyFill="1" applyBorder="1" applyAlignment="1" applyProtection="1">
      <alignment vertical="center"/>
      <protection locked="0"/>
    </xf>
    <xf numFmtId="164" fontId="3" fillId="0" borderId="28" xfId="5" applyNumberFormat="1" applyFont="1" applyFill="1" applyBorder="1" applyAlignment="1" applyProtection="1">
      <alignment horizontal="center" vertical="center"/>
      <protection locked="0"/>
    </xf>
    <xf numFmtId="164" fontId="3" fillId="0" borderId="29" xfId="5" applyNumberFormat="1" applyFont="1" applyFill="1" applyBorder="1" applyAlignment="1" applyProtection="1">
      <alignment vertical="center"/>
      <protection locked="0"/>
    </xf>
    <xf numFmtId="164" fontId="3" fillId="0" borderId="28" xfId="5" applyNumberFormat="1" applyFont="1" applyFill="1" applyBorder="1" applyAlignment="1" applyProtection="1">
      <alignment horizontal="center" vertical="center"/>
    </xf>
    <xf numFmtId="164" fontId="3" fillId="0" borderId="12" xfId="5" applyNumberFormat="1" applyFont="1" applyFill="1" applyBorder="1" applyAlignment="1" applyProtection="1">
      <alignment horizontal="center" vertical="center" shrinkToFit="1"/>
    </xf>
    <xf numFmtId="164" fontId="3" fillId="2" borderId="12" xfId="5" applyNumberFormat="1" applyFont="1" applyFill="1" applyBorder="1" applyAlignment="1" applyProtection="1">
      <alignment horizontal="center" vertical="center" shrinkToFit="1"/>
    </xf>
    <xf numFmtId="164" fontId="3" fillId="0" borderId="13" xfId="5" applyNumberFormat="1" applyFont="1" applyFill="1" applyBorder="1" applyAlignment="1" applyProtection="1">
      <alignment horizontal="center" vertical="center"/>
      <protection locked="0"/>
    </xf>
    <xf numFmtId="164" fontId="3" fillId="0" borderId="2" xfId="5" applyNumberFormat="1" applyFont="1" applyFill="1" applyBorder="1" applyAlignment="1" applyProtection="1">
      <alignment horizontal="center" vertical="center" shrinkToFit="1"/>
    </xf>
    <xf numFmtId="164" fontId="3" fillId="2" borderId="2" xfId="5" applyNumberFormat="1" applyFont="1" applyFill="1" applyBorder="1" applyAlignment="1" applyProtection="1">
      <alignment horizontal="center" vertical="center" shrinkToFit="1"/>
    </xf>
    <xf numFmtId="164" fontId="3" fillId="0" borderId="9" xfId="5" applyNumberFormat="1" applyFont="1" applyFill="1" applyBorder="1" applyAlignment="1" applyProtection="1">
      <alignment horizontal="center" vertical="center"/>
      <protection locked="0"/>
    </xf>
    <xf numFmtId="164" fontId="3" fillId="0" borderId="9" xfId="5" applyNumberFormat="1" applyFont="1" applyFill="1" applyBorder="1" applyAlignment="1" applyProtection="1">
      <alignment horizontal="center" vertical="center" shrinkToFit="1"/>
    </xf>
    <xf numFmtId="164" fontId="3" fillId="0" borderId="28" xfId="5" applyNumberFormat="1" applyFont="1" applyFill="1" applyBorder="1" applyAlignment="1" applyProtection="1">
      <alignment horizontal="center" vertical="center" shrinkToFit="1"/>
    </xf>
    <xf numFmtId="164" fontId="3" fillId="2" borderId="28" xfId="5" applyNumberFormat="1" applyFont="1" applyFill="1" applyBorder="1" applyAlignment="1" applyProtection="1">
      <alignment horizontal="center" vertical="center" shrinkToFit="1"/>
    </xf>
    <xf numFmtId="164" fontId="3" fillId="0" borderId="29" xfId="5" applyNumberFormat="1" applyFont="1" applyFill="1" applyBorder="1" applyAlignment="1" applyProtection="1">
      <alignment horizontal="center" vertical="center" shrinkToFit="1"/>
    </xf>
    <xf numFmtId="164" fontId="3" fillId="0" borderId="11" xfId="5" applyNumberFormat="1" applyFont="1" applyFill="1" applyBorder="1" applyAlignment="1" applyProtection="1">
      <alignment horizontal="center" vertical="center" shrinkToFit="1"/>
    </xf>
    <xf numFmtId="164" fontId="3" fillId="0" borderId="14" xfId="5" applyNumberFormat="1" applyFont="1" applyFill="1" applyBorder="1" applyAlignment="1" applyProtection="1">
      <alignment horizontal="center" vertical="center"/>
      <protection locked="0"/>
    </xf>
    <xf numFmtId="164" fontId="3" fillId="0" borderId="16" xfId="5" applyNumberFormat="1" applyFont="1" applyFill="1" applyBorder="1" applyAlignment="1" applyProtection="1">
      <alignment horizontal="center" vertical="center" shrinkToFit="1"/>
    </xf>
    <xf numFmtId="164" fontId="3" fillId="0" borderId="42" xfId="5" applyNumberFormat="1" applyFont="1" applyFill="1" applyBorder="1" applyAlignment="1" applyProtection="1">
      <alignment horizontal="center" vertical="center"/>
      <protection locked="0"/>
    </xf>
    <xf numFmtId="164" fontId="3" fillId="0" borderId="42" xfId="5" applyNumberFormat="1" applyFont="1" applyFill="1" applyBorder="1" applyAlignment="1" applyProtection="1">
      <alignment horizontal="center" vertical="center" shrinkToFit="1"/>
    </xf>
    <xf numFmtId="164" fontId="3" fillId="0" borderId="27" xfId="5" applyNumberFormat="1" applyFont="1" applyFill="1" applyBorder="1" applyAlignment="1" applyProtection="1">
      <alignment horizontal="center" vertical="center" shrinkToFit="1"/>
    </xf>
    <xf numFmtId="164" fontId="3" fillId="0" borderId="31" xfId="5" applyNumberFormat="1" applyFont="1" applyFill="1" applyBorder="1" applyAlignment="1" applyProtection="1">
      <alignment horizontal="center" vertical="center" shrinkToFit="1"/>
    </xf>
    <xf numFmtId="164" fontId="3" fillId="0" borderId="15" xfId="5" applyNumberFormat="1" applyFont="1" applyFill="1" applyBorder="1" applyAlignment="1" applyProtection="1">
      <alignment horizontal="center" vertical="center"/>
    </xf>
    <xf numFmtId="164" fontId="3" fillId="0" borderId="6" xfId="5" applyNumberFormat="1" applyFont="1" applyFill="1" applyBorder="1" applyAlignment="1" applyProtection="1">
      <alignment horizontal="center" vertical="center"/>
    </xf>
    <xf numFmtId="164" fontId="3" fillId="0" borderId="10" xfId="5" applyNumberFormat="1" applyFont="1" applyFill="1" applyBorder="1" applyAlignment="1" applyProtection="1">
      <alignment horizontal="center" vertical="center"/>
    </xf>
    <xf numFmtId="164" fontId="3" fillId="0" borderId="30" xfId="5" applyNumberFormat="1" applyFont="1" applyFill="1" applyBorder="1" applyAlignment="1" applyProtection="1">
      <alignment horizontal="center" vertical="center"/>
    </xf>
    <xf numFmtId="164" fontId="3" fillId="0" borderId="20" xfId="5" applyNumberFormat="1" applyFont="1" applyFill="1" applyBorder="1" applyAlignment="1" applyProtection="1">
      <alignment horizontal="center" vertical="center" shrinkToFit="1"/>
    </xf>
    <xf numFmtId="164" fontId="3" fillId="2" borderId="20" xfId="5" applyNumberFormat="1" applyFont="1" applyFill="1" applyBorder="1" applyAlignment="1" applyProtection="1">
      <alignment horizontal="center" vertical="center" shrinkToFit="1"/>
    </xf>
    <xf numFmtId="164" fontId="3" fillId="0" borderId="7" xfId="5" applyNumberFormat="1" applyFont="1" applyFill="1" applyBorder="1" applyAlignment="1" applyProtection="1">
      <alignment horizontal="center" vertical="center"/>
      <protection locked="0"/>
    </xf>
    <xf numFmtId="164" fontId="3" fillId="0" borderId="11" xfId="0" applyNumberFormat="1" applyFont="1" applyFill="1" applyBorder="1" applyAlignment="1" applyProtection="1">
      <alignment horizontal="center" vertical="center" shrinkToFit="1"/>
    </xf>
    <xf numFmtId="164" fontId="3" fillId="0" borderId="12" xfId="0" applyNumberFormat="1" applyFont="1" applyFill="1" applyBorder="1" applyAlignment="1" applyProtection="1">
      <alignment horizontal="center" vertical="center" shrinkToFit="1"/>
    </xf>
    <xf numFmtId="164" fontId="3" fillId="0" borderId="16" xfId="0" applyNumberFormat="1" applyFont="1" applyFill="1" applyBorder="1" applyAlignment="1" applyProtection="1">
      <alignment horizontal="center" vertical="center" shrinkToFit="1"/>
    </xf>
    <xf numFmtId="164" fontId="3" fillId="0" borderId="27" xfId="0" applyNumberFormat="1" applyFont="1" applyFill="1" applyBorder="1" applyAlignment="1" applyProtection="1">
      <alignment horizontal="center" vertical="center" shrinkToFit="1"/>
    </xf>
    <xf numFmtId="164" fontId="3" fillId="0" borderId="28" xfId="0" applyNumberFormat="1" applyFont="1" applyFill="1" applyBorder="1" applyAlignment="1" applyProtection="1">
      <alignment horizontal="center" vertical="center" shrinkToFit="1"/>
    </xf>
    <xf numFmtId="164" fontId="3" fillId="2" borderId="28" xfId="0" applyNumberFormat="1" applyFont="1" applyFill="1" applyBorder="1" applyAlignment="1" applyProtection="1">
      <alignment horizontal="center" vertical="center" shrinkToFit="1"/>
    </xf>
    <xf numFmtId="164" fontId="3" fillId="2" borderId="31" xfId="0" applyNumberFormat="1" applyFont="1" applyFill="1" applyBorder="1" applyAlignment="1" applyProtection="1">
      <alignment horizontal="center" vertical="center" shrinkToFit="1"/>
    </xf>
    <xf numFmtId="164" fontId="3" fillId="0" borderId="11" xfId="5" applyNumberFormat="1" applyFont="1" applyFill="1" applyBorder="1" applyAlignment="1" applyProtection="1">
      <alignment horizontal="center" vertical="center"/>
      <protection locked="0"/>
    </xf>
    <xf numFmtId="164" fontId="3" fillId="0" borderId="14" xfId="5" applyNumberFormat="1" applyFont="1" applyFill="1" applyBorder="1" applyAlignment="1" applyProtection="1">
      <alignment vertical="center"/>
      <protection locked="0"/>
    </xf>
    <xf numFmtId="164" fontId="3" fillId="0" borderId="16" xfId="5" applyNumberFormat="1" applyFont="1" applyFill="1" applyBorder="1" applyAlignment="1" applyProtection="1">
      <alignment horizontal="center" vertical="center"/>
      <protection locked="0"/>
    </xf>
    <xf numFmtId="164" fontId="3" fillId="0" borderId="42" xfId="5" applyNumberFormat="1" applyFont="1" applyFill="1" applyBorder="1" applyAlignment="1" applyProtection="1">
      <alignment vertical="center"/>
      <protection locked="0"/>
    </xf>
    <xf numFmtId="164" fontId="3" fillId="0" borderId="27" xfId="5" applyNumberFormat="1" applyFont="1" applyFill="1" applyBorder="1" applyAlignment="1" applyProtection="1">
      <alignment horizontal="center" vertical="center"/>
      <protection locked="0"/>
    </xf>
    <xf numFmtId="164" fontId="3" fillId="0" borderId="31" xfId="5" applyNumberFormat="1" applyFont="1" applyFill="1" applyBorder="1" applyAlignment="1" applyProtection="1">
      <alignment vertical="center"/>
      <protection locked="0"/>
    </xf>
    <xf numFmtId="0" fontId="3" fillId="0" borderId="12" xfId="5" applyNumberFormat="1" applyFont="1" applyFill="1" applyBorder="1" applyAlignment="1" applyProtection="1">
      <alignment horizontal="center" vertical="center" shrinkToFit="1"/>
    </xf>
    <xf numFmtId="0" fontId="3" fillId="2" borderId="12" xfId="5" applyNumberFormat="1" applyFont="1" applyFill="1" applyBorder="1" applyAlignment="1" applyProtection="1">
      <alignment horizontal="center" vertical="center" shrinkToFit="1"/>
    </xf>
    <xf numFmtId="0" fontId="3" fillId="0" borderId="13" xfId="5" applyNumberFormat="1" applyFont="1" applyFill="1" applyBorder="1" applyAlignment="1" applyProtection="1">
      <alignment horizontal="center" vertical="center"/>
      <protection locked="0"/>
    </xf>
    <xf numFmtId="0" fontId="3" fillId="0" borderId="2" xfId="5" applyNumberFormat="1" applyFont="1" applyFill="1" applyBorder="1" applyAlignment="1" applyProtection="1">
      <alignment horizontal="center" vertical="center" shrinkToFit="1"/>
    </xf>
    <xf numFmtId="0" fontId="3" fillId="2" borderId="2" xfId="5" applyNumberFormat="1" applyFont="1" applyFill="1" applyBorder="1" applyAlignment="1" applyProtection="1">
      <alignment horizontal="center" vertical="center" shrinkToFit="1"/>
    </xf>
    <xf numFmtId="0" fontId="3" fillId="0" borderId="9" xfId="5" applyNumberFormat="1" applyFont="1" applyFill="1" applyBorder="1" applyAlignment="1" applyProtection="1">
      <alignment horizontal="center" vertical="center"/>
      <protection locked="0"/>
    </xf>
    <xf numFmtId="0" fontId="3" fillId="0" borderId="9" xfId="5" applyNumberFormat="1" applyFont="1" applyFill="1" applyBorder="1" applyAlignment="1" applyProtection="1">
      <alignment horizontal="center" vertical="center" shrinkToFit="1"/>
    </xf>
    <xf numFmtId="0" fontId="3" fillId="0" borderId="28" xfId="5" applyNumberFormat="1" applyFont="1" applyFill="1" applyBorder="1" applyAlignment="1" applyProtection="1">
      <alignment horizontal="center" vertical="center" shrinkToFit="1"/>
    </xf>
    <xf numFmtId="0" fontId="3" fillId="2" borderId="28" xfId="5" applyNumberFormat="1" applyFont="1" applyFill="1" applyBorder="1" applyAlignment="1" applyProtection="1">
      <alignment horizontal="center" vertical="center" shrinkToFit="1"/>
    </xf>
    <xf numFmtId="0" fontId="3" fillId="0" borderId="29" xfId="5" applyNumberFormat="1" applyFont="1" applyFill="1" applyBorder="1" applyAlignment="1" applyProtection="1">
      <alignment horizontal="center" vertical="center" shrinkToFit="1"/>
    </xf>
    <xf numFmtId="0" fontId="3" fillId="2" borderId="12" xfId="5" applyNumberFormat="1" applyFont="1" applyFill="1" applyBorder="1" applyAlignment="1" applyProtection="1">
      <alignment horizontal="center" vertical="center" shrinkToFit="1"/>
      <protection locked="0"/>
    </xf>
    <xf numFmtId="164" fontId="5" fillId="0" borderId="2" xfId="3" applyNumberFormat="1" applyFont="1" applyFill="1" applyBorder="1" applyAlignment="1">
      <alignment horizontal="center" vertical="center" wrapText="1"/>
    </xf>
    <xf numFmtId="1" fontId="5" fillId="0" borderId="0" xfId="1" applyNumberFormat="1" applyFont="1" applyAlignment="1">
      <alignment horizontal="center"/>
    </xf>
    <xf numFmtId="167" fontId="6" fillId="0" borderId="2" xfId="7" applyNumberFormat="1" applyFont="1" applyFill="1" applyBorder="1" applyAlignment="1" applyProtection="1">
      <alignment horizontal="center" vertical="center"/>
      <protection hidden="1"/>
    </xf>
    <xf numFmtId="1" fontId="4" fillId="0" borderId="2" xfId="0" applyNumberFormat="1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hidden="1"/>
    </xf>
    <xf numFmtId="0" fontId="6" fillId="0" borderId="2" xfId="0" applyFont="1" applyFill="1" applyBorder="1" applyAlignment="1" applyProtection="1">
      <alignment horizontal="center" vertical="center"/>
      <protection hidden="1"/>
    </xf>
    <xf numFmtId="1" fontId="13" fillId="0" borderId="0" xfId="1" applyNumberFormat="1" applyFont="1" applyAlignment="1">
      <alignment horizontal="right"/>
    </xf>
    <xf numFmtId="168" fontId="14" fillId="0" borderId="1" xfId="1" applyNumberFormat="1" applyFont="1" applyBorder="1" applyAlignment="1">
      <alignment horizontal="center"/>
    </xf>
    <xf numFmtId="1" fontId="13" fillId="0" borderId="1" xfId="1" applyNumberFormat="1" applyFont="1" applyBorder="1" applyAlignment="1">
      <alignment horizontal="center"/>
    </xf>
    <xf numFmtId="1" fontId="13" fillId="0" borderId="0" xfId="1" applyNumberFormat="1" applyFont="1" applyAlignment="1">
      <alignment horizontal="center"/>
    </xf>
    <xf numFmtId="164" fontId="32" fillId="0" borderId="9" xfId="3" applyNumberFormat="1" applyFont="1" applyFill="1" applyBorder="1" applyAlignment="1">
      <alignment horizontal="center" vertical="center"/>
    </xf>
    <xf numFmtId="164" fontId="32" fillId="0" borderId="50" xfId="3" applyNumberFormat="1" applyFont="1" applyFill="1" applyBorder="1" applyAlignment="1">
      <alignment horizontal="center" vertical="center"/>
    </xf>
    <xf numFmtId="164" fontId="32" fillId="0" borderId="10" xfId="3" applyNumberFormat="1" applyFont="1" applyFill="1" applyBorder="1" applyAlignment="1">
      <alignment horizontal="center" vertical="center"/>
    </xf>
    <xf numFmtId="0" fontId="25" fillId="0" borderId="0" xfId="5" applyFont="1" applyAlignment="1" applyProtection="1">
      <alignment horizontal="left" vertical="center"/>
      <protection locked="0"/>
    </xf>
    <xf numFmtId="49" fontId="3" fillId="0" borderId="11" xfId="5" applyNumberFormat="1" applyFont="1" applyFill="1" applyBorder="1" applyAlignment="1" applyProtection="1">
      <alignment horizontal="center" vertical="center"/>
      <protection locked="0"/>
    </xf>
    <xf numFmtId="49" fontId="3" fillId="0" borderId="16" xfId="5" applyNumberFormat="1" applyFont="1" applyFill="1" applyBorder="1" applyAlignment="1" applyProtection="1">
      <alignment horizontal="center" vertical="center"/>
      <protection locked="0"/>
    </xf>
    <xf numFmtId="49" fontId="3" fillId="0" borderId="27" xfId="5" applyNumberFormat="1" applyFont="1" applyFill="1" applyBorder="1" applyAlignment="1" applyProtection="1">
      <alignment horizontal="center" vertical="center"/>
      <protection locked="0"/>
    </xf>
    <xf numFmtId="0" fontId="3" fillId="0" borderId="37" xfId="5" applyFont="1" applyFill="1" applyBorder="1" applyAlignment="1" applyProtection="1">
      <alignment horizontal="center" vertical="center" wrapText="1"/>
      <protection locked="0"/>
    </xf>
    <xf numFmtId="0" fontId="3" fillId="0" borderId="36" xfId="5" applyFont="1" applyFill="1" applyBorder="1" applyAlignment="1" applyProtection="1">
      <alignment horizontal="center" vertical="center" wrapText="1"/>
      <protection locked="0"/>
    </xf>
    <xf numFmtId="0" fontId="3" fillId="0" borderId="38" xfId="5" applyFont="1" applyFill="1" applyBorder="1" applyAlignment="1" applyProtection="1">
      <alignment horizontal="center" vertical="center" wrapText="1"/>
      <protection locked="0"/>
    </xf>
    <xf numFmtId="49" fontId="24" fillId="0" borderId="46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23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47" xfId="5" applyNumberFormat="1" applyFont="1" applyFill="1" applyBorder="1" applyAlignment="1" applyProtection="1">
      <alignment horizontal="center" vertical="center" wrapText="1"/>
      <protection locked="0"/>
    </xf>
    <xf numFmtId="164" fontId="3" fillId="0" borderId="46" xfId="5" applyNumberFormat="1" applyFont="1" applyFill="1" applyBorder="1" applyAlignment="1" applyProtection="1">
      <alignment horizontal="center" vertical="center"/>
    </xf>
    <xf numFmtId="164" fontId="3" fillId="0" borderId="7" xfId="5" applyNumberFormat="1" applyFont="1" applyFill="1" applyBorder="1" applyAlignment="1" applyProtection="1">
      <alignment horizontal="center" vertical="center"/>
    </xf>
    <xf numFmtId="164" fontId="3" fillId="0" borderId="12" xfId="5" applyNumberFormat="1" applyFont="1" applyFill="1" applyBorder="1" applyAlignment="1" applyProtection="1">
      <alignment horizontal="center" vertical="center"/>
    </xf>
    <xf numFmtId="164" fontId="3" fillId="0" borderId="2" xfId="5" applyNumberFormat="1" applyFont="1" applyFill="1" applyBorder="1" applyAlignment="1" applyProtection="1">
      <alignment horizontal="center" vertical="center"/>
    </xf>
    <xf numFmtId="164" fontId="3" fillId="0" borderId="9" xfId="5" applyNumberFormat="1" applyFont="1" applyFill="1" applyBorder="1" applyAlignment="1" applyProtection="1">
      <alignment horizontal="center" vertical="center"/>
    </xf>
    <xf numFmtId="164" fontId="3" fillId="0" borderId="29" xfId="5" applyNumberFormat="1" applyFont="1" applyFill="1" applyBorder="1" applyAlignment="1" applyProtection="1">
      <alignment horizontal="center" vertical="center"/>
    </xf>
    <xf numFmtId="164" fontId="3" fillId="0" borderId="2" xfId="5" applyNumberFormat="1" applyFont="1" applyFill="1" applyBorder="1" applyAlignment="1" applyProtection="1">
      <alignment horizontal="center" vertical="center"/>
      <protection locked="0"/>
    </xf>
    <xf numFmtId="164" fontId="3" fillId="0" borderId="28" xfId="5" applyNumberFormat="1" applyFont="1" applyFill="1" applyBorder="1" applyAlignment="1" applyProtection="1">
      <alignment horizontal="center" vertical="center"/>
      <protection locked="0"/>
    </xf>
    <xf numFmtId="0" fontId="3" fillId="0" borderId="18" xfId="5" applyFont="1" applyFill="1" applyBorder="1" applyAlignment="1" applyProtection="1">
      <alignment horizontal="center" vertical="center"/>
      <protection locked="0"/>
    </xf>
    <xf numFmtId="0" fontId="3" fillId="0" borderId="4" xfId="5" applyFont="1" applyFill="1" applyBorder="1" applyAlignment="1" applyProtection="1">
      <alignment horizontal="center" vertical="center"/>
      <protection locked="0"/>
    </xf>
    <xf numFmtId="0" fontId="3" fillId="0" borderId="49" xfId="5" applyFont="1" applyFill="1" applyBorder="1" applyAlignment="1" applyProtection="1">
      <alignment horizontal="center" vertical="center"/>
      <protection locked="0"/>
    </xf>
    <xf numFmtId="0" fontId="3" fillId="0" borderId="5" xfId="5" applyFont="1" applyFill="1" applyBorder="1" applyAlignment="1" applyProtection="1">
      <alignment horizontal="center" vertical="center"/>
      <protection locked="0"/>
    </xf>
    <xf numFmtId="0" fontId="3" fillId="0" borderId="6" xfId="5" applyFont="1" applyFill="1" applyBorder="1" applyAlignment="1" applyProtection="1">
      <alignment horizontal="center" vertical="center"/>
      <protection locked="0"/>
    </xf>
    <xf numFmtId="0" fontId="3" fillId="0" borderId="39" xfId="5" applyFont="1" applyFill="1" applyBorder="1" applyAlignment="1" applyProtection="1">
      <alignment horizontal="center" vertical="center" wrapText="1"/>
      <protection locked="0"/>
    </xf>
    <xf numFmtId="0" fontId="3" fillId="0" borderId="40" xfId="5" applyFont="1" applyFill="1" applyBorder="1" applyAlignment="1" applyProtection="1">
      <alignment horizontal="center" vertical="center" wrapText="1"/>
      <protection locked="0"/>
    </xf>
    <xf numFmtId="0" fontId="3" fillId="0" borderId="41" xfId="5" applyFont="1" applyFill="1" applyBorder="1" applyAlignment="1" applyProtection="1">
      <alignment horizontal="center" vertical="center" wrapText="1"/>
      <protection locked="0"/>
    </xf>
    <xf numFmtId="49" fontId="24" fillId="0" borderId="48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0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45" xfId="5" applyNumberFormat="1" applyFont="1" applyFill="1" applyBorder="1" applyAlignment="1" applyProtection="1">
      <alignment horizontal="center" vertical="center" wrapText="1"/>
      <protection locked="0"/>
    </xf>
    <xf numFmtId="164" fontId="3" fillId="0" borderId="32" xfId="5" applyNumberFormat="1" applyFont="1" applyFill="1" applyBorder="1" applyAlignment="1" applyProtection="1">
      <alignment horizontal="center" vertical="center"/>
    </xf>
    <xf numFmtId="164" fontId="3" fillId="0" borderId="35" xfId="5" applyNumberFormat="1" applyFont="1" applyFill="1" applyBorder="1" applyAlignment="1" applyProtection="1">
      <alignment horizontal="center" vertical="center"/>
    </xf>
    <xf numFmtId="164" fontId="3" fillId="0" borderId="42" xfId="5" applyNumberFormat="1" applyFont="1" applyFill="1" applyBorder="1" applyAlignment="1" applyProtection="1">
      <alignment horizontal="center" vertical="center"/>
    </xf>
    <xf numFmtId="164" fontId="3" fillId="0" borderId="31" xfId="5" applyNumberFormat="1" applyFont="1" applyFill="1" applyBorder="1" applyAlignment="1" applyProtection="1">
      <alignment horizontal="center" vertical="center"/>
    </xf>
    <xf numFmtId="0" fontId="18" fillId="0" borderId="18" xfId="5" applyFont="1" applyBorder="1" applyAlignment="1" applyProtection="1">
      <alignment horizontal="center" vertical="center"/>
      <protection locked="0"/>
    </xf>
    <xf numFmtId="0" fontId="18" fillId="0" borderId="21" xfId="5" applyFont="1" applyBorder="1" applyAlignment="1" applyProtection="1">
      <alignment horizontal="center" vertical="center"/>
      <protection locked="0"/>
    </xf>
    <xf numFmtId="0" fontId="18" fillId="0" borderId="26" xfId="5" applyFont="1" applyBorder="1" applyAlignment="1" applyProtection="1">
      <alignment horizontal="center" vertical="center"/>
      <protection locked="0"/>
    </xf>
    <xf numFmtId="0" fontId="18" fillId="0" borderId="3" xfId="5" applyFont="1" applyBorder="1" applyAlignment="1" applyProtection="1">
      <alignment horizontal="center" vertical="center" wrapText="1"/>
      <protection locked="0"/>
    </xf>
    <xf numFmtId="0" fontId="18" fillId="0" borderId="22" xfId="5" applyFont="1" applyBorder="1" applyAlignment="1" applyProtection="1">
      <alignment horizontal="center" vertical="center" wrapText="1"/>
      <protection locked="0"/>
    </xf>
    <xf numFmtId="0" fontId="18" fillId="0" borderId="20" xfId="5" applyFont="1" applyBorder="1" applyAlignment="1" applyProtection="1">
      <alignment horizontal="center" vertical="center" wrapText="1"/>
      <protection locked="0"/>
    </xf>
    <xf numFmtId="0" fontId="18" fillId="0" borderId="5" xfId="5" applyFont="1" applyBorder="1" applyAlignment="1" applyProtection="1">
      <alignment horizontal="center" vertical="center"/>
      <protection locked="0"/>
    </xf>
    <xf numFmtId="0" fontId="18" fillId="0" borderId="6" xfId="5" applyFont="1" applyBorder="1" applyAlignment="1" applyProtection="1">
      <alignment horizontal="center" vertical="center"/>
      <protection locked="0"/>
    </xf>
    <xf numFmtId="0" fontId="18" fillId="0" borderId="23" xfId="5" applyFont="1" applyBorder="1" applyAlignment="1" applyProtection="1">
      <alignment horizontal="center" vertical="center"/>
      <protection locked="0"/>
    </xf>
    <xf numFmtId="0" fontId="18" fillId="0" borderId="24" xfId="5" applyFont="1" applyBorder="1" applyAlignment="1" applyProtection="1">
      <alignment horizontal="center" vertical="center"/>
      <protection locked="0"/>
    </xf>
    <xf numFmtId="0" fontId="18" fillId="0" borderId="7" xfId="5" applyFont="1" applyBorder="1" applyAlignment="1" applyProtection="1">
      <alignment horizontal="center" vertical="center"/>
      <protection locked="0"/>
    </xf>
    <xf numFmtId="0" fontId="18" fillId="0" borderId="8" xfId="5" applyFont="1" applyBorder="1" applyAlignment="1" applyProtection="1">
      <alignment horizontal="center" vertical="center"/>
      <protection locked="0"/>
    </xf>
    <xf numFmtId="0" fontId="18" fillId="0" borderId="6" xfId="5" applyFont="1" applyBorder="1" applyAlignment="1" applyProtection="1">
      <alignment horizontal="center" vertical="center" wrapText="1"/>
      <protection locked="0"/>
    </xf>
    <xf numFmtId="0" fontId="18" fillId="0" borderId="24" xfId="5" applyFont="1" applyBorder="1" applyAlignment="1" applyProtection="1">
      <alignment horizontal="center" vertical="center" wrapText="1"/>
      <protection locked="0"/>
    </xf>
    <xf numFmtId="0" fontId="18" fillId="0" borderId="2" xfId="5" applyFont="1" applyBorder="1" applyAlignment="1" applyProtection="1">
      <alignment horizontal="center" vertical="center" wrapText="1"/>
      <protection locked="0"/>
    </xf>
    <xf numFmtId="0" fontId="18" fillId="0" borderId="3" xfId="5" applyFont="1" applyBorder="1" applyAlignment="1" applyProtection="1">
      <alignment horizontal="center" vertical="center"/>
      <protection locked="0"/>
    </xf>
    <xf numFmtId="165" fontId="5" fillId="0" borderId="3" xfId="0" applyNumberFormat="1" applyFont="1" applyFill="1" applyBorder="1" applyAlignment="1" applyProtection="1">
      <alignment horizontal="center" vertical="center"/>
      <protection locked="0"/>
    </xf>
    <xf numFmtId="165" fontId="5" fillId="0" borderId="20" xfId="0" applyNumberFormat="1" applyFont="1" applyFill="1" applyBorder="1" applyAlignment="1" applyProtection="1">
      <alignment horizontal="center" vertical="center"/>
      <protection locked="0"/>
    </xf>
    <xf numFmtId="0" fontId="3" fillId="0" borderId="11" xfId="5" applyFont="1" applyBorder="1" applyAlignment="1" applyProtection="1">
      <alignment horizontal="center" vertical="center" textRotation="90" wrapText="1"/>
      <protection locked="0"/>
    </xf>
    <xf numFmtId="0" fontId="3" fillId="0" borderId="16" xfId="5" applyFont="1" applyBorder="1" applyAlignment="1" applyProtection="1">
      <alignment horizontal="center" vertical="center" textRotation="90" wrapText="1"/>
      <protection locked="0"/>
    </xf>
    <xf numFmtId="0" fontId="3" fillId="0" borderId="17" xfId="5" applyFont="1" applyBorder="1" applyAlignment="1" applyProtection="1">
      <alignment horizontal="center" vertical="center" textRotation="90" wrapText="1"/>
      <protection locked="0"/>
    </xf>
    <xf numFmtId="0" fontId="3" fillId="0" borderId="12" xfId="5" applyFont="1" applyBorder="1" applyAlignment="1" applyProtection="1">
      <alignment horizontal="center" vertical="center" wrapText="1"/>
      <protection locked="0"/>
    </xf>
    <xf numFmtId="0" fontId="3" fillId="0" borderId="2" xfId="5" applyFont="1" applyBorder="1" applyAlignment="1" applyProtection="1">
      <alignment horizontal="center" vertical="center" wrapText="1"/>
      <protection locked="0"/>
    </xf>
    <xf numFmtId="0" fontId="3" fillId="0" borderId="3" xfId="5" applyFont="1" applyBorder="1" applyAlignment="1" applyProtection="1">
      <alignment horizontal="center" vertical="center" wrapText="1"/>
      <protection locked="0"/>
    </xf>
    <xf numFmtId="0" fontId="3" fillId="0" borderId="13" xfId="5" applyFont="1" applyBorder="1" applyAlignment="1" applyProtection="1">
      <alignment horizontal="center" vertical="center" textRotation="90" wrapText="1"/>
      <protection locked="0"/>
    </xf>
    <xf numFmtId="0" fontId="3" fillId="0" borderId="9" xfId="5" applyFont="1" applyBorder="1" applyAlignment="1" applyProtection="1">
      <alignment horizontal="center" vertical="center" textRotation="90"/>
      <protection locked="0"/>
    </xf>
    <xf numFmtId="0" fontId="3" fillId="0" borderId="5" xfId="5" applyFont="1" applyBorder="1" applyAlignment="1" applyProtection="1">
      <alignment horizontal="center" vertical="center" textRotation="90"/>
      <protection locked="0"/>
    </xf>
    <xf numFmtId="0" fontId="3" fillId="0" borderId="32" xfId="5" applyFont="1" applyBorder="1" applyAlignment="1" applyProtection="1">
      <alignment horizontal="center" vertical="center" textRotation="90" wrapText="1"/>
      <protection locked="0"/>
    </xf>
    <xf numFmtId="0" fontId="3" fillId="0" borderId="33" xfId="5" applyFont="1" applyBorder="1" applyAlignment="1" applyProtection="1">
      <alignment horizontal="center" vertical="center" textRotation="90" wrapText="1"/>
      <protection locked="0"/>
    </xf>
    <xf numFmtId="0" fontId="3" fillId="0" borderId="35" xfId="5" applyFont="1" applyBorder="1" applyAlignment="1" applyProtection="1">
      <alignment horizontal="center" vertical="center" textRotation="90" wrapText="1"/>
      <protection locked="0"/>
    </xf>
    <xf numFmtId="0" fontId="3" fillId="0" borderId="11" xfId="5" applyFont="1" applyBorder="1" applyAlignment="1" applyProtection="1">
      <alignment horizontal="center" vertical="center"/>
      <protection locked="0"/>
    </xf>
    <xf numFmtId="0" fontId="3" fillId="0" borderId="12" xfId="5" applyFont="1" applyBorder="1" applyAlignment="1" applyProtection="1">
      <alignment horizontal="center" vertical="center"/>
      <protection locked="0"/>
    </xf>
    <xf numFmtId="0" fontId="3" fillId="0" borderId="14" xfId="5" applyFont="1" applyBorder="1" applyAlignment="1" applyProtection="1">
      <alignment horizontal="center" vertical="center"/>
      <protection locked="0"/>
    </xf>
    <xf numFmtId="0" fontId="3" fillId="0" borderId="15" xfId="5" applyFont="1" applyBorder="1" applyAlignment="1" applyProtection="1">
      <alignment horizontal="center" vertical="center" wrapText="1"/>
      <protection locked="0"/>
    </xf>
    <xf numFmtId="0" fontId="3" fillId="0" borderId="13" xfId="5" applyFont="1" applyBorder="1" applyAlignment="1" applyProtection="1">
      <alignment horizontal="center" vertical="center"/>
      <protection locked="0"/>
    </xf>
    <xf numFmtId="0" fontId="3" fillId="0" borderId="25" xfId="5" applyFont="1" applyFill="1" applyBorder="1" applyAlignment="1" applyProtection="1">
      <alignment horizontal="center" vertical="center"/>
      <protection locked="0"/>
    </xf>
    <xf numFmtId="0" fontId="3" fillId="0" borderId="10" xfId="5" applyFont="1" applyFill="1" applyBorder="1" applyProtection="1">
      <protection locked="0"/>
    </xf>
    <xf numFmtId="165" fontId="5" fillId="0" borderId="34" xfId="0" applyNumberFormat="1" applyFont="1" applyFill="1" applyBorder="1" applyAlignment="1" applyProtection="1">
      <alignment horizontal="center" vertical="center"/>
      <protection locked="0"/>
    </xf>
    <xf numFmtId="165" fontId="5" fillId="0" borderId="35" xfId="0" applyNumberFormat="1" applyFont="1" applyFill="1" applyBorder="1" applyAlignment="1" applyProtection="1">
      <alignment horizontal="center" vertical="center"/>
      <protection locked="0"/>
    </xf>
    <xf numFmtId="0" fontId="18" fillId="0" borderId="16" xfId="5" applyFont="1" applyBorder="1" applyAlignment="1" applyProtection="1">
      <alignment horizontal="center" vertical="center" wrapText="1"/>
      <protection locked="0"/>
    </xf>
    <xf numFmtId="0" fontId="18" fillId="0" borderId="16" xfId="5" applyFont="1" applyBorder="1" applyAlignment="1" applyProtection="1">
      <alignment horizontal="center" vertical="center"/>
      <protection locked="0"/>
    </xf>
    <xf numFmtId="0" fontId="3" fillId="0" borderId="11" xfId="5" applyNumberFormat="1" applyFont="1" applyBorder="1" applyAlignment="1" applyProtection="1">
      <alignment horizontal="center" vertical="center"/>
      <protection locked="0"/>
    </xf>
    <xf numFmtId="0" fontId="3" fillId="0" borderId="12" xfId="5" applyNumberFormat="1" applyFont="1" applyBorder="1" applyAlignment="1" applyProtection="1">
      <alignment horizontal="center" vertical="center"/>
      <protection locked="0"/>
    </xf>
    <xf numFmtId="0" fontId="3" fillId="0" borderId="14" xfId="5" applyNumberFormat="1" applyFont="1" applyBorder="1" applyAlignment="1" applyProtection="1">
      <alignment horizontal="center" vertical="center"/>
      <protection locked="0"/>
    </xf>
    <xf numFmtId="165" fontId="5" fillId="0" borderId="17" xfId="0" applyNumberFormat="1" applyFont="1" applyFill="1" applyBorder="1" applyAlignment="1" applyProtection="1">
      <alignment horizontal="center" vertical="center"/>
      <protection locked="0"/>
    </xf>
    <xf numFmtId="165" fontId="5" fillId="0" borderId="19" xfId="0" applyNumberFormat="1" applyFont="1" applyFill="1" applyBorder="1" applyAlignment="1" applyProtection="1">
      <alignment horizontal="center" vertical="center"/>
      <protection locked="0"/>
    </xf>
    <xf numFmtId="0" fontId="18" fillId="0" borderId="34" xfId="5" applyFont="1" applyBorder="1" applyAlignment="1" applyProtection="1">
      <alignment horizontal="center" vertical="center" wrapText="1"/>
      <protection locked="0"/>
    </xf>
    <xf numFmtId="0" fontId="18" fillId="0" borderId="33" xfId="5" applyFont="1" applyBorder="1" applyAlignment="1" applyProtection="1">
      <alignment horizontal="center" vertical="center" wrapText="1"/>
      <protection locked="0"/>
    </xf>
    <xf numFmtId="0" fontId="18" fillId="0" borderId="35" xfId="5" applyFont="1" applyBorder="1" applyAlignment="1" applyProtection="1">
      <alignment horizontal="center" vertical="center" wrapText="1"/>
      <protection locked="0"/>
    </xf>
    <xf numFmtId="0" fontId="3" fillId="0" borderId="10" xfId="5" applyFont="1" applyBorder="1" applyAlignment="1" applyProtection="1">
      <alignment horizontal="center" vertical="center"/>
      <protection locked="0"/>
    </xf>
    <xf numFmtId="0" fontId="3" fillId="0" borderId="2" xfId="5" applyFont="1" applyBorder="1" applyAlignment="1" applyProtection="1">
      <alignment horizontal="center" vertical="center"/>
      <protection locked="0"/>
    </xf>
    <xf numFmtId="0" fontId="3" fillId="0" borderId="9" xfId="5" applyFont="1" applyBorder="1" applyAlignment="1" applyProtection="1">
      <alignment horizontal="center" vertical="center"/>
      <protection locked="0"/>
    </xf>
    <xf numFmtId="0" fontId="3" fillId="0" borderId="2" xfId="5" applyFont="1" applyFill="1" applyBorder="1" applyAlignment="1" applyProtection="1">
      <alignment horizontal="center"/>
      <protection locked="0"/>
    </xf>
    <xf numFmtId="14" fontId="16" fillId="0" borderId="2" xfId="5" applyNumberFormat="1" applyFont="1" applyFill="1" applyBorder="1" applyAlignment="1" applyProtection="1">
      <alignment horizontal="center"/>
    </xf>
    <xf numFmtId="0" fontId="4" fillId="0" borderId="0" xfId="5" applyFont="1" applyFill="1" applyAlignment="1" applyProtection="1">
      <alignment horizontal="right" vertical="center" wrapText="1"/>
      <protection locked="0"/>
    </xf>
    <xf numFmtId="0" fontId="21" fillId="0" borderId="0" xfId="5" applyFont="1" applyFill="1" applyAlignment="1" applyProtection="1">
      <alignment horizontal="right" vertical="center" wrapText="1"/>
      <protection locked="0"/>
    </xf>
    <xf numFmtId="0" fontId="4" fillId="0" borderId="0" xfId="5" applyFont="1" applyAlignment="1" applyProtection="1">
      <alignment horizontal="center"/>
      <protection locked="0"/>
    </xf>
    <xf numFmtId="0" fontId="4" fillId="0" borderId="1" xfId="5" applyFont="1" applyFill="1" applyBorder="1" applyAlignment="1">
      <alignment horizontal="center" vertical="center"/>
    </xf>
    <xf numFmtId="14" fontId="16" fillId="0" borderId="2" xfId="5" applyNumberFormat="1" applyFont="1" applyFill="1" applyBorder="1" applyAlignment="1" applyProtection="1">
      <alignment horizontal="center"/>
      <protection locked="0"/>
    </xf>
    <xf numFmtId="49" fontId="24" fillId="0" borderId="43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24" xfId="5" applyNumberFormat="1" applyFont="1" applyFill="1" applyBorder="1" applyAlignment="1" applyProtection="1">
      <alignment horizontal="center" vertical="center" wrapText="1"/>
      <protection locked="0"/>
    </xf>
    <xf numFmtId="49" fontId="24" fillId="0" borderId="44" xfId="5" applyNumberFormat="1" applyFont="1" applyFill="1" applyBorder="1" applyAlignment="1" applyProtection="1">
      <alignment horizontal="center" vertical="center" wrapText="1"/>
      <protection locked="0"/>
    </xf>
    <xf numFmtId="49" fontId="3" fillId="0" borderId="19" xfId="5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Border="1" applyAlignment="1">
      <alignment horizontal="center" vertical="center"/>
    </xf>
  </cellXfs>
  <cellStyles count="8">
    <cellStyle name="Гиперссылка" xfId="7" builtinId="8"/>
    <cellStyle name="Обычный" xfId="0" builtinId="0"/>
    <cellStyle name="Обычный 2" xfId="5"/>
    <cellStyle name="Обычный 3" xfId="4"/>
    <cellStyle name="Обычный 4" xfId="6"/>
    <cellStyle name="Обычный_ВАХТА 2012  для работников" xfId="3"/>
    <cellStyle name="Обычный_Графики УС-5 март-декабрь 2010" xfId="2"/>
    <cellStyle name="Обычный_Копия График работы персонала УС5 на 2011год" xfId="1"/>
  </cellStyles>
  <dxfs count="127">
    <dxf>
      <font>
        <b val="0"/>
        <i val="0"/>
        <color theme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color theme="1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color auto="1"/>
      </font>
    </dxf>
    <dxf>
      <font>
        <b val="0"/>
        <i val="0"/>
        <color theme="1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rgb="FFFF0000"/>
      </font>
    </dxf>
    <dxf>
      <font>
        <b/>
        <i val="0"/>
        <color rgb="FFFFC000"/>
      </font>
    </dxf>
    <dxf>
      <font>
        <b/>
        <i val="0"/>
        <color theme="2" tint="-0.499984740745262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b/>
        <i val="0"/>
        <color theme="8" tint="-0.24994659260841701"/>
      </font>
    </dxf>
    <dxf>
      <font>
        <b val="0"/>
        <i val="0"/>
        <color theme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color theme="1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color theme="1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  <color theme="1"/>
      </font>
      <fill>
        <patternFill>
          <bgColor theme="0" tint="-0.14996795556505021"/>
        </patternFill>
      </fill>
    </dxf>
    <dxf>
      <font>
        <b val="0"/>
        <i val="0"/>
        <color theme="1"/>
      </font>
      <fill>
        <patternFill>
          <bgColor theme="9" tint="0.39994506668294322"/>
        </patternFill>
      </fill>
    </dxf>
    <dxf>
      <font>
        <b val="0"/>
        <i val="0"/>
        <strike val="0"/>
        <u val="none"/>
        <color theme="1"/>
        <name val="Cambria"/>
        <scheme val="none"/>
      </font>
      <numFmt numFmtId="169" formatCode="d\*"/>
      <fill>
        <patternFill>
          <bgColor rgb="FFFFFF99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color auto="1"/>
      </font>
    </dxf>
    <dxf>
      <font>
        <b val="0"/>
        <i val="0"/>
        <color theme="1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color auto="1"/>
      </font>
    </dxf>
    <dxf>
      <font>
        <b val="0"/>
        <i val="0"/>
        <color theme="1"/>
      </font>
      <fill>
        <patternFill patternType="solid">
          <fgColor indexed="64"/>
          <bgColor theme="0" tint="-0.14996795556505021"/>
        </patternFill>
      </fill>
    </dxf>
    <dxf>
      <font>
        <b val="0"/>
        <i val="0"/>
      </font>
      <fill>
        <patternFill>
          <bgColor theme="0" tint="-0.14996795556505021"/>
        </patternFill>
      </fill>
    </dxf>
    <dxf>
      <font>
        <b val="0"/>
        <i val="0"/>
        <color auto="1"/>
      </font>
    </dxf>
    <dxf>
      <font>
        <b val="0"/>
        <i val="0"/>
        <color theme="1"/>
      </font>
      <fill>
        <patternFill patternType="solid">
          <fgColor indexed="64"/>
          <bgColor theme="0" tint="-0.14996795556505021"/>
        </patternFill>
      </fill>
    </dxf>
  </dxfs>
  <tableStyles count="0" defaultTableStyle="TableStyleMedium2" defaultPivotStyle="PivotStyleLight16"/>
  <colors>
    <mruColors>
      <color rgb="FFCCECFF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76</xdr:row>
      <xdr:rowOff>142875</xdr:rowOff>
    </xdr:from>
    <xdr:to>
      <xdr:col>9</xdr:col>
      <xdr:colOff>123825</xdr:colOff>
      <xdr:row>80</xdr:row>
      <xdr:rowOff>0</xdr:rowOff>
    </xdr:to>
    <xdr:cxnSp macro="">
      <xdr:nvCxnSpPr>
        <xdr:cNvPr id="3" name="Прямая со стрелкой 2"/>
        <xdr:cNvCxnSpPr/>
      </xdr:nvCxnSpPr>
      <xdr:spPr>
        <a:xfrm flipV="1">
          <a:off x="3914775" y="13163550"/>
          <a:ext cx="361950" cy="504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247651</xdr:colOff>
      <xdr:row>76</xdr:row>
      <xdr:rowOff>47625</xdr:rowOff>
    </xdr:from>
    <xdr:to>
      <xdr:col>8</xdr:col>
      <xdr:colOff>57150</xdr:colOff>
      <xdr:row>81</xdr:row>
      <xdr:rowOff>0</xdr:rowOff>
    </xdr:to>
    <xdr:cxnSp macro="">
      <xdr:nvCxnSpPr>
        <xdr:cNvPr id="5" name="Прямая со стрелкой 4"/>
        <xdr:cNvCxnSpPr/>
      </xdr:nvCxnSpPr>
      <xdr:spPr>
        <a:xfrm flipH="1" flipV="1">
          <a:off x="2838451" y="13068300"/>
          <a:ext cx="981074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1426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3;&#1086;&#1074;&#1072;&#1103;%20&#1087;&#1072;&#1087;&#1082;&#1072;\&#1057;&#1087;&#1080;&#1089;&#1072;&#1085;&#1080;&#1077;\&#1053;&#1086;&#1074;&#1072;&#1103;%20&#1087;&#1072;&#1087;&#1082;&#1072;\&#1043;&#1088;&#1072;&#1092;&#1080;&#108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~1\SHUBOC~1\LOCALS~1\Temp\Rar$DI00.095\&#1058;&#1072;&#1073;&#1077;&#1083;&#1100;%20&#1064;&#1072;&#1073;&#1083;&#1086;&#10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О Сентябрь"/>
      <sheetName val="всяки"/>
      <sheetName val="Структура"/>
    </sheetNames>
    <sheetDataSet>
      <sheetData sheetId="0" refreshError="1"/>
      <sheetData sheetId="1">
        <row r="1">
          <cell r="A1" t="str">
            <v>январь</v>
          </cell>
          <cell r="B1">
            <v>1</v>
          </cell>
          <cell r="C1">
            <v>2010</v>
          </cell>
        </row>
        <row r="2">
          <cell r="A2" t="str">
            <v>февраль</v>
          </cell>
          <cell r="B2">
            <v>2</v>
          </cell>
          <cell r="C2">
            <v>2011</v>
          </cell>
        </row>
        <row r="3">
          <cell r="A3" t="str">
            <v>март</v>
          </cell>
          <cell r="B3">
            <v>3</v>
          </cell>
          <cell r="C3">
            <v>2012</v>
          </cell>
          <cell r="G3">
            <v>42005</v>
          </cell>
          <cell r="H3">
            <v>42128</v>
          </cell>
        </row>
        <row r="4">
          <cell r="A4" t="str">
            <v>апрель</v>
          </cell>
          <cell r="B4">
            <v>4</v>
          </cell>
          <cell r="C4">
            <v>2013</v>
          </cell>
          <cell r="G4">
            <v>42006</v>
          </cell>
          <cell r="H4">
            <v>42135</v>
          </cell>
        </row>
        <row r="5">
          <cell r="A5" t="str">
            <v>май</v>
          </cell>
          <cell r="B5">
            <v>5</v>
          </cell>
          <cell r="C5">
            <v>2014</v>
          </cell>
          <cell r="G5">
            <v>42007</v>
          </cell>
        </row>
        <row r="6">
          <cell r="A6" t="str">
            <v>июнь</v>
          </cell>
          <cell r="B6">
            <v>6</v>
          </cell>
          <cell r="C6">
            <v>2015</v>
          </cell>
          <cell r="G6">
            <v>42008</v>
          </cell>
        </row>
        <row r="7">
          <cell r="A7" t="str">
            <v>июль</v>
          </cell>
          <cell r="B7">
            <v>7</v>
          </cell>
          <cell r="C7">
            <v>2016</v>
          </cell>
          <cell r="G7">
            <v>42009</v>
          </cell>
        </row>
        <row r="8">
          <cell r="A8" t="str">
            <v>август</v>
          </cell>
          <cell r="B8">
            <v>8</v>
          </cell>
          <cell r="C8">
            <v>2017</v>
          </cell>
          <cell r="G8">
            <v>42010</v>
          </cell>
        </row>
        <row r="9">
          <cell r="A9" t="str">
            <v>сентябрь</v>
          </cell>
          <cell r="B9">
            <v>9</v>
          </cell>
          <cell r="C9">
            <v>2018</v>
          </cell>
          <cell r="G9">
            <v>42011</v>
          </cell>
        </row>
        <row r="10">
          <cell r="A10" t="str">
            <v>октябрь</v>
          </cell>
          <cell r="B10">
            <v>10</v>
          </cell>
          <cell r="C10">
            <v>2019</v>
          </cell>
          <cell r="G10">
            <v>42012</v>
          </cell>
        </row>
        <row r="11">
          <cell r="A11" t="str">
            <v>ноябрь</v>
          </cell>
          <cell r="B11">
            <v>11</v>
          </cell>
          <cell r="C11">
            <v>2020</v>
          </cell>
        </row>
        <row r="12">
          <cell r="A12" t="str">
            <v>декабрь</v>
          </cell>
          <cell r="B12">
            <v>12</v>
          </cell>
          <cell r="C12">
            <v>2021</v>
          </cell>
          <cell r="F12">
            <v>42057</v>
          </cell>
          <cell r="G12">
            <v>42058</v>
          </cell>
        </row>
        <row r="13">
          <cell r="F13">
            <v>42070</v>
          </cell>
          <cell r="G13">
            <v>42071</v>
          </cell>
        </row>
        <row r="14">
          <cell r="F14">
            <v>42124</v>
          </cell>
          <cell r="G14">
            <v>42125</v>
          </cell>
        </row>
        <row r="15">
          <cell r="F15">
            <v>42132</v>
          </cell>
          <cell r="G15">
            <v>42133</v>
          </cell>
        </row>
        <row r="16">
          <cell r="F16">
            <v>42166</v>
          </cell>
          <cell r="G16">
            <v>42167</v>
          </cell>
        </row>
        <row r="17">
          <cell r="F17">
            <v>42311</v>
          </cell>
          <cell r="G17">
            <v>42312</v>
          </cell>
        </row>
        <row r="18">
          <cell r="F18">
            <v>42369</v>
          </cell>
          <cell r="G18">
            <v>42370</v>
          </cell>
        </row>
        <row r="19">
          <cell r="G19">
            <v>42312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Календарь"/>
      <sheetName val="Лист1"/>
      <sheetName val="Лист2"/>
      <sheetName val="Лист3"/>
    </sheetNames>
    <sheetDataSet>
      <sheetData sheetId="0"/>
      <sheetData sheetId="1">
        <row r="1">
          <cell r="A1" t="str">
            <v>январь</v>
          </cell>
          <cell r="C1">
            <v>2010</v>
          </cell>
        </row>
        <row r="2">
          <cell r="A2" t="str">
            <v>февраль</v>
          </cell>
          <cell r="C2">
            <v>2011</v>
          </cell>
          <cell r="F2">
            <v>0</v>
          </cell>
          <cell r="G2">
            <v>43101</v>
          </cell>
          <cell r="H2">
            <v>0</v>
          </cell>
        </row>
        <row r="3">
          <cell r="A3" t="str">
            <v>март</v>
          </cell>
          <cell r="C3">
            <v>2012</v>
          </cell>
          <cell r="F3">
            <v>0</v>
          </cell>
          <cell r="G3">
            <v>43102</v>
          </cell>
          <cell r="H3">
            <v>0</v>
          </cell>
        </row>
        <row r="4">
          <cell r="A4" t="str">
            <v>апрель</v>
          </cell>
          <cell r="C4">
            <v>2013</v>
          </cell>
          <cell r="F4">
            <v>0</v>
          </cell>
          <cell r="G4">
            <v>43103</v>
          </cell>
          <cell r="H4">
            <v>0</v>
          </cell>
        </row>
        <row r="5">
          <cell r="A5" t="str">
            <v>май</v>
          </cell>
          <cell r="C5">
            <v>2014</v>
          </cell>
          <cell r="F5">
            <v>0</v>
          </cell>
          <cell r="G5">
            <v>43104</v>
          </cell>
          <cell r="H5">
            <v>0</v>
          </cell>
        </row>
        <row r="6">
          <cell r="A6" t="str">
            <v>июнь</v>
          </cell>
          <cell r="C6">
            <v>2015</v>
          </cell>
          <cell r="F6">
            <v>0</v>
          </cell>
          <cell r="G6">
            <v>43105</v>
          </cell>
          <cell r="H6">
            <v>0</v>
          </cell>
        </row>
        <row r="7">
          <cell r="A7" t="str">
            <v>июль</v>
          </cell>
          <cell r="C7">
            <v>2016</v>
          </cell>
          <cell r="F7">
            <v>0</v>
          </cell>
          <cell r="G7">
            <v>43106</v>
          </cell>
          <cell r="H7">
            <v>0</v>
          </cell>
        </row>
        <row r="8">
          <cell r="A8" t="str">
            <v>август</v>
          </cell>
          <cell r="C8">
            <v>2017</v>
          </cell>
          <cell r="F8">
            <v>0</v>
          </cell>
          <cell r="G8">
            <v>43107</v>
          </cell>
          <cell r="H8">
            <v>0</v>
          </cell>
        </row>
        <row r="9">
          <cell r="A9" t="str">
            <v>сентябрь</v>
          </cell>
          <cell r="C9">
            <v>2018</v>
          </cell>
          <cell r="F9">
            <v>0</v>
          </cell>
          <cell r="G9">
            <v>43108</v>
          </cell>
          <cell r="H9">
            <v>0</v>
          </cell>
        </row>
        <row r="10">
          <cell r="A10" t="str">
            <v>октябрь</v>
          </cell>
          <cell r="C10">
            <v>2019</v>
          </cell>
          <cell r="F10">
            <v>43153</v>
          </cell>
          <cell r="G10">
            <v>43154</v>
          </cell>
          <cell r="H10">
            <v>0</v>
          </cell>
        </row>
        <row r="11">
          <cell r="A11" t="str">
            <v>ноябрь</v>
          </cell>
          <cell r="C11">
            <v>2020</v>
          </cell>
          <cell r="F11">
            <v>43166</v>
          </cell>
          <cell r="G11">
            <v>43167</v>
          </cell>
          <cell r="H11">
            <v>0</v>
          </cell>
        </row>
        <row r="12">
          <cell r="A12" t="str">
            <v>декабрь</v>
          </cell>
          <cell r="C12">
            <v>2021</v>
          </cell>
          <cell r="F12">
            <v>0</v>
          </cell>
          <cell r="G12">
            <v>0</v>
          </cell>
          <cell r="H12">
            <v>43168</v>
          </cell>
        </row>
        <row r="13">
          <cell r="F13">
            <v>43218</v>
          </cell>
          <cell r="G13">
            <v>0</v>
          </cell>
          <cell r="H13">
            <v>0</v>
          </cell>
        </row>
        <row r="14">
          <cell r="F14">
            <v>0</v>
          </cell>
          <cell r="G14">
            <v>43221</v>
          </cell>
          <cell r="H14">
            <v>0</v>
          </cell>
        </row>
        <row r="15">
          <cell r="F15">
            <v>0</v>
          </cell>
          <cell r="G15">
            <v>0</v>
          </cell>
          <cell r="H15">
            <v>43222</v>
          </cell>
        </row>
        <row r="16">
          <cell r="F16">
            <v>43228</v>
          </cell>
          <cell r="G16">
            <v>43229</v>
          </cell>
          <cell r="H16">
            <v>0</v>
          </cell>
        </row>
        <row r="17">
          <cell r="F17">
            <v>0</v>
          </cell>
          <cell r="G17">
            <v>0</v>
          </cell>
          <cell r="H17">
            <v>43262</v>
          </cell>
        </row>
        <row r="18">
          <cell r="F18">
            <v>43260</v>
          </cell>
          <cell r="G18">
            <v>43263</v>
          </cell>
          <cell r="H18">
            <v>0</v>
          </cell>
        </row>
        <row r="19">
          <cell r="F19">
            <v>0</v>
          </cell>
          <cell r="G19">
            <v>43408</v>
          </cell>
          <cell r="H19">
            <v>43409</v>
          </cell>
        </row>
        <row r="20">
          <cell r="F20">
            <v>43463</v>
          </cell>
          <cell r="G20">
            <v>0</v>
          </cell>
          <cell r="H20">
            <v>43465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ь"/>
      <sheetName val="Подписи"/>
      <sheetName val="Служебный"/>
    </sheetNames>
    <sheetDataSet>
      <sheetData sheetId="0"/>
      <sheetData sheetId="1"/>
      <sheetData sheetId="2">
        <row r="1">
          <cell r="A1" t="str">
            <v>Н</v>
          </cell>
        </row>
        <row r="2">
          <cell r="A2" t="str">
            <v>С</v>
          </cell>
        </row>
        <row r="3">
          <cell r="A3" t="str">
            <v>Р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N63"/>
  <sheetViews>
    <sheetView showZeros="0" view="pageBreakPreview" topLeftCell="B7" zoomScale="66" zoomScaleNormal="70" zoomScaleSheetLayoutView="66" workbookViewId="0">
      <selection activeCell="S8" sqref="S8:AG8"/>
    </sheetView>
  </sheetViews>
  <sheetFormatPr defaultColWidth="9.140625" defaultRowHeight="15" x14ac:dyDescent="0.25"/>
  <cols>
    <col min="1" max="1" width="9" style="1" customWidth="1"/>
    <col min="2" max="2" width="22.7109375" style="1" customWidth="1"/>
    <col min="3" max="3" width="9.5703125" style="51" customWidth="1"/>
    <col min="4" max="34" width="5.7109375" style="1" customWidth="1"/>
    <col min="35" max="35" width="7.7109375" style="1" customWidth="1"/>
    <col min="36" max="36" width="8.5703125" style="1" customWidth="1"/>
    <col min="37" max="39" width="7.7109375" style="1" customWidth="1"/>
    <col min="40" max="40" width="7.7109375" customWidth="1"/>
    <col min="41" max="53" width="3.28515625" style="1" customWidth="1"/>
    <col min="54" max="16384" width="9.140625" style="1"/>
  </cols>
  <sheetData>
    <row r="1" spans="1:40" ht="24.95" customHeight="1" x14ac:dyDescent="0.3">
      <c r="A1" s="205" t="s">
        <v>37</v>
      </c>
      <c r="B1" s="205"/>
      <c r="C1" s="50" t="str">
        <f>TEXT(DATE(C2,C3,1),"МММ")&amp;" ("&amp;TEXT(DATE(C2,C3,1),"ММ")&amp;")"</f>
        <v>июн (06)</v>
      </c>
      <c r="D1" s="203" t="str">
        <f>TEXT(DATE(C2,C3+1,1),"МММ")&amp;" ("&amp;TEXT(DATE(C2,C3+1,1),"ММ")&amp;")"</f>
        <v>июл (07)</v>
      </c>
      <c r="E1" s="203"/>
      <c r="F1" s="203" t="str">
        <f>TEXT(DATE(C2,C3+2,1),"МММ")&amp;" ("&amp;TEXT(DATE(C2,C3+2,1),"ММ")&amp;")"</f>
        <v>авг (08)</v>
      </c>
      <c r="G1" s="20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6"/>
      <c r="AD1" s="3"/>
      <c r="AE1" s="3"/>
      <c r="AF1" s="3"/>
      <c r="AG1" s="3"/>
      <c r="AH1" s="3"/>
      <c r="AI1" s="3"/>
      <c r="AJ1" s="3"/>
      <c r="AK1" s="3"/>
      <c r="AL1" s="3"/>
    </row>
    <row r="2" spans="1:40" ht="24.95" customHeight="1" x14ac:dyDescent="0.25">
      <c r="A2" s="206" t="s">
        <v>38</v>
      </c>
      <c r="B2" s="206"/>
      <c r="C2" s="204">
        <v>2020</v>
      </c>
      <c r="D2" s="204"/>
      <c r="E2" s="204"/>
      <c r="F2" s="204"/>
      <c r="G2" s="204"/>
      <c r="H2" s="3"/>
      <c r="I2" s="3"/>
      <c r="J2" s="3"/>
      <c r="K2" s="3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3"/>
      <c r="AA2" s="3"/>
      <c r="AB2" s="3"/>
      <c r="AC2" s="5"/>
      <c r="AD2" s="3"/>
      <c r="AE2" s="3"/>
      <c r="AF2" s="3"/>
      <c r="AG2" s="3"/>
      <c r="AH2" s="3"/>
      <c r="AI2" s="3"/>
      <c r="AJ2" s="3"/>
      <c r="AK2" s="3"/>
      <c r="AL2" s="3"/>
    </row>
    <row r="3" spans="1:40" ht="24.95" customHeight="1" x14ac:dyDescent="0.25">
      <c r="A3" s="205" t="s">
        <v>39</v>
      </c>
      <c r="B3" s="205"/>
      <c r="C3" s="204">
        <v>6</v>
      </c>
      <c r="D3" s="204"/>
      <c r="E3" s="204"/>
      <c r="F3" s="204"/>
      <c r="G3" s="204"/>
      <c r="H3" s="3"/>
      <c r="I3" s="3"/>
      <c r="J3" s="3"/>
      <c r="K3" s="3"/>
      <c r="L3" s="3"/>
      <c r="M3" s="3"/>
      <c r="N3" s="3"/>
      <c r="O3" s="5"/>
      <c r="P3" s="3"/>
      <c r="Q3" s="3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7"/>
      <c r="AD3" s="2"/>
      <c r="AE3" s="2"/>
      <c r="AF3" s="2"/>
      <c r="AG3" s="2"/>
      <c r="AH3" s="2"/>
      <c r="AI3" s="2"/>
      <c r="AJ3" s="2"/>
      <c r="AK3" s="2"/>
      <c r="AL3" s="2"/>
      <c r="AM3" s="2"/>
    </row>
    <row r="4" spans="1:40" ht="25.15" customHeight="1" x14ac:dyDescent="0.3">
      <c r="A4" s="210" t="s">
        <v>40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</row>
    <row r="5" spans="1:40" ht="25.15" customHeight="1" x14ac:dyDescent="0.3">
      <c r="A5" s="20"/>
      <c r="B5" s="21"/>
      <c r="D5" s="22"/>
      <c r="E5" s="22"/>
      <c r="F5" s="22"/>
      <c r="G5" s="23"/>
      <c r="H5" s="23"/>
      <c r="I5" s="23"/>
      <c r="J5" s="23"/>
      <c r="K5" s="23"/>
      <c r="L5" s="23"/>
      <c r="M5" s="207" t="s">
        <v>42</v>
      </c>
      <c r="N5" s="207"/>
      <c r="O5" s="207"/>
      <c r="P5" s="207"/>
      <c r="Q5" s="207"/>
      <c r="R5" s="207"/>
      <c r="S5" s="207"/>
      <c r="T5" s="208">
        <f>DATE(C2,C3,1)</f>
        <v>43983</v>
      </c>
      <c r="U5" s="208"/>
      <c r="V5" s="208"/>
      <c r="W5" s="209">
        <v>2020</v>
      </c>
      <c r="X5" s="209"/>
      <c r="Y5" s="23" t="s">
        <v>1</v>
      </c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2"/>
      <c r="AK5" s="22"/>
      <c r="AL5" s="22"/>
      <c r="AM5" s="20"/>
    </row>
    <row r="6" spans="1:40" ht="25.15" customHeight="1" x14ac:dyDescent="0.25">
      <c r="B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4"/>
    </row>
    <row r="7" spans="1:40" ht="50.1" customHeight="1" x14ac:dyDescent="0.2">
      <c r="A7" s="26" t="s">
        <v>2</v>
      </c>
      <c r="B7" s="25" t="s">
        <v>3</v>
      </c>
      <c r="C7" s="52" t="s">
        <v>49</v>
      </c>
      <c r="D7" s="9">
        <f>T5</f>
        <v>43983</v>
      </c>
      <c r="E7" s="9">
        <f>D7+1</f>
        <v>43984</v>
      </c>
      <c r="F7" s="9">
        <f t="shared" ref="F7" si="0">E7+1</f>
        <v>43985</v>
      </c>
      <c r="G7" s="9">
        <f t="shared" ref="G7" si="1">F7+1</f>
        <v>43986</v>
      </c>
      <c r="H7" s="9">
        <f t="shared" ref="H7" si="2">G7+1</f>
        <v>43987</v>
      </c>
      <c r="I7" s="9">
        <f t="shared" ref="I7" si="3">H7+1</f>
        <v>43988</v>
      </c>
      <c r="J7" s="9">
        <f t="shared" ref="J7" si="4">I7+1</f>
        <v>43989</v>
      </c>
      <c r="K7" s="9">
        <f t="shared" ref="K7" si="5">J7+1</f>
        <v>43990</v>
      </c>
      <c r="L7" s="9">
        <f t="shared" ref="L7" si="6">K7+1</f>
        <v>43991</v>
      </c>
      <c r="M7" s="9">
        <f t="shared" ref="M7" si="7">L7+1</f>
        <v>43992</v>
      </c>
      <c r="N7" s="9">
        <f t="shared" ref="N7" si="8">M7+1</f>
        <v>43993</v>
      </c>
      <c r="O7" s="9">
        <f t="shared" ref="O7" si="9">N7+1</f>
        <v>43994</v>
      </c>
      <c r="P7" s="9">
        <f t="shared" ref="P7" si="10">O7+1</f>
        <v>43995</v>
      </c>
      <c r="Q7" s="9">
        <f t="shared" ref="Q7" si="11">P7+1</f>
        <v>43996</v>
      </c>
      <c r="R7" s="9">
        <f t="shared" ref="R7" si="12">Q7+1</f>
        <v>43997</v>
      </c>
      <c r="S7" s="9">
        <f t="shared" ref="S7" si="13">R7+1</f>
        <v>43998</v>
      </c>
      <c r="T7" s="9">
        <f t="shared" ref="T7" si="14">S7+1</f>
        <v>43999</v>
      </c>
      <c r="U7" s="9">
        <f t="shared" ref="U7" si="15">T7+1</f>
        <v>44000</v>
      </c>
      <c r="V7" s="9">
        <f t="shared" ref="V7" si="16">U7+1</f>
        <v>44001</v>
      </c>
      <c r="W7" s="9">
        <f t="shared" ref="W7" si="17">V7+1</f>
        <v>44002</v>
      </c>
      <c r="X7" s="9">
        <f t="shared" ref="X7" si="18">W7+1</f>
        <v>44003</v>
      </c>
      <c r="Y7" s="9">
        <f t="shared" ref="Y7" si="19">X7+1</f>
        <v>44004</v>
      </c>
      <c r="Z7" s="9">
        <f t="shared" ref="Z7" si="20">Y7+1</f>
        <v>44005</v>
      </c>
      <c r="AA7" s="9">
        <f t="shared" ref="AA7" si="21">Z7+1</f>
        <v>44006</v>
      </c>
      <c r="AB7" s="9">
        <f t="shared" ref="AB7" si="22">AA7+1</f>
        <v>44007</v>
      </c>
      <c r="AC7" s="9">
        <f t="shared" ref="AC7" si="23">AB7+1</f>
        <v>44008</v>
      </c>
      <c r="AD7" s="9">
        <f t="shared" ref="AD7" si="24">AC7+1</f>
        <v>44009</v>
      </c>
      <c r="AE7" s="9">
        <f t="shared" ref="AE7" si="25">AD7+1</f>
        <v>44010</v>
      </c>
      <c r="AF7" s="9">
        <f>IF(MONTH(AE7+1)&lt;&gt;MONTH($D7),"х",AE7+1)</f>
        <v>44011</v>
      </c>
      <c r="AG7" s="9">
        <f>IF(MONTH(AE7+2)&lt;&gt;MONTH($D7),"х",AE7+2)</f>
        <v>44012</v>
      </c>
      <c r="AH7" s="124" t="str">
        <f>IF(MONTH(AE7+3)&lt;&gt;MONTH($D7),"х",AE7+3)</f>
        <v>х</v>
      </c>
      <c r="AI7" s="74" t="s">
        <v>43</v>
      </c>
      <c r="AJ7" s="75" t="s">
        <v>44</v>
      </c>
      <c r="AK7" s="76" t="s">
        <v>45</v>
      </c>
      <c r="AL7" s="76" t="s">
        <v>46</v>
      </c>
      <c r="AM7" s="77" t="s">
        <v>47</v>
      </c>
      <c r="AN7" s="78" t="s">
        <v>48</v>
      </c>
    </row>
    <row r="8" spans="1:40" s="10" customFormat="1" ht="30" customHeight="1" x14ac:dyDescent="0.2">
      <c r="A8" s="11">
        <f>Параметры!A26</f>
        <v>1902910</v>
      </c>
      <c r="B8" s="12" t="str">
        <f>Параметры!B26</f>
        <v>Петров</v>
      </c>
      <c r="C8" s="49" t="str">
        <f>Параметры!C26</f>
        <v>Начальник участка</v>
      </c>
      <c r="D8" s="35">
        <v>11</v>
      </c>
      <c r="E8" s="35">
        <v>11</v>
      </c>
      <c r="F8" s="35" t="s">
        <v>109</v>
      </c>
      <c r="G8" s="35">
        <v>4</v>
      </c>
      <c r="H8" s="35" t="s">
        <v>110</v>
      </c>
      <c r="I8" s="35" t="s">
        <v>110</v>
      </c>
      <c r="J8" s="35">
        <v>8</v>
      </c>
      <c r="K8" s="35" t="str">
        <f>IF($B8=0,0,IF(K$7="х","х",IF(AND(K$7&gt;=Параметры!$D$26,K$7&lt;=Параметры!$F$26),"О",0)))</f>
        <v>О</v>
      </c>
      <c r="L8" s="35" t="str">
        <f>IF($B8=0,0,IF(L$7="х","х",IF(AND(L$7&gt;=Параметры!$D$26,L$7&lt;=Параметры!$F$26),"О",0)))</f>
        <v>О</v>
      </c>
      <c r="M8" s="35" t="str">
        <f>IF($B8=0,0,IF(M$7="х","х",IF(AND(M$7&gt;=Параметры!$D$26,M$7&lt;=Параметры!$F$26),"О",0)))</f>
        <v>О</v>
      </c>
      <c r="N8" s="35" t="str">
        <f>IF($B8=0,0,IF(N$7="х","х",IF(AND(N$7&gt;=Параметры!$D$26,N$7&lt;=Параметры!$F$26),"О",0)))</f>
        <v>О</v>
      </c>
      <c r="O8" s="35" t="str">
        <f>IF($B8=0,0,IF(O$7="х","х",IF(AND(O$7&gt;=Параметры!$D$26,O$7&lt;=Параметры!$F$26),"О",0)))</f>
        <v>О</v>
      </c>
      <c r="P8" s="35" t="str">
        <f>IF($B8=0,0,IF(P$7="х","х",IF(AND(P$7&gt;=Параметры!$D$26,P$7&lt;=Параметры!$F$26),"О",0)))</f>
        <v>О</v>
      </c>
      <c r="Q8" s="35" t="str">
        <f>IF($B8=0,0,IF(Q$7="х","х",IF(AND(Q$7&gt;=Параметры!$D$26,Q$7&lt;=Параметры!$F$26),"О",0)))</f>
        <v>О</v>
      </c>
      <c r="R8" s="35" t="str">
        <f>IF($B8=0,0,IF(R$7="х","х",IF(AND(R$7&gt;=Параметры!$D$26,R$7&lt;=Параметры!$F$26),"О",0)))</f>
        <v>О</v>
      </c>
      <c r="S8" s="35" t="str">
        <f>IF($B8=0,0,IF(S$7="х","х",IF(AND(S$7&gt;=Параметры!$D$26,S$7&lt;=Параметры!$F$26),"О",0)))</f>
        <v>О</v>
      </c>
      <c r="T8" s="35" t="str">
        <f>IF($B8=0,0,IF(T$7="х","х",IF(AND(T$7&gt;=Параметры!$D$26,T$7&lt;=Параметры!$F$26),"О",0)))</f>
        <v>О</v>
      </c>
      <c r="U8" s="35" t="str">
        <f>IF($B8=0,0,IF(U$7="х","х",IF(AND(U$7&gt;=Параметры!$D$26,U$7&lt;=Параметры!$F$26),"О",0)))</f>
        <v>О</v>
      </c>
      <c r="V8" s="35" t="str">
        <f>IF($B8=0,0,IF(V$7="х","х",IF(AND(V$7&gt;=Параметры!$D$26,V$7&lt;=Параметры!$F$26),"О",0)))</f>
        <v>О</v>
      </c>
      <c r="W8" s="35" t="str">
        <f>IF($B8=0,0,IF(W$7="х","х",IF(AND(W$7&gt;=Параметры!$D$26,W$7&lt;=Параметры!$F$26),"О",0)))</f>
        <v>О</v>
      </c>
      <c r="X8" s="35" t="str">
        <f>IF($B8=0,0,IF(X$7="х","х",IF(AND(X$7&gt;=Параметры!$D$26,X$7&lt;=Параметры!$F$26),"О",0)))</f>
        <v>О</v>
      </c>
      <c r="Y8" s="35" t="str">
        <f>IF($B8=0,0,IF(Y$7="х","х",IF(AND(Y$7&gt;=Параметры!$D$26,Y$7&lt;=Параметры!$F$26),"О",0)))</f>
        <v>О</v>
      </c>
      <c r="Z8" s="35" t="str">
        <f>IF($B8=0,0,IF(Z$7="х","х",IF(AND(Z$7&gt;=Параметры!$D$26,Z$7&lt;=Параметры!$F$26),"О",0)))</f>
        <v>О</v>
      </c>
      <c r="AA8" s="35" t="str">
        <f>IF($B8=0,0,IF(AA$7="х","х",IF(AND(AA$7&gt;=Параметры!$D$26,AA$7&lt;=Параметры!$F$26),"О",0)))</f>
        <v>О</v>
      </c>
      <c r="AB8" s="35" t="str">
        <f>IF($B8=0,0,IF(AB$7="х","х",IF(AND(AB$7&gt;=Параметры!$D$26,AB$7&lt;=Параметры!$F$26),"О",0)))</f>
        <v>О</v>
      </c>
      <c r="AC8" s="35" t="str">
        <f>IF($B8=0,0,IF(AC$7="х","х",IF(AND(AC$7&gt;=Параметры!$D$26,AC$7&lt;=Параметры!$F$26),"О",0)))</f>
        <v>О</v>
      </c>
      <c r="AD8" s="35" t="str">
        <f>IF($B8=0,0,IF(AD$7="х","х",IF(AND(AD$7&gt;=Параметры!$D$26,AD$7&lt;=Параметры!$F$26),"О",0)))</f>
        <v>О</v>
      </c>
      <c r="AE8" s="35" t="str">
        <f>IF($B8=0,0,IF(AE$7="х","х",IF(AND(AE$7&gt;=Параметры!$D$26,AE$7&lt;=Параметры!$F$26),"О",0)))</f>
        <v>О</v>
      </c>
      <c r="AF8" s="35" t="str">
        <f>IF($B8=0,0,IF(AF$7="х","х",IF(AND(AF$7&gt;=Параметры!$D$26,AF$7&lt;=Параметры!$F$26),"О",0)))</f>
        <v>О</v>
      </c>
      <c r="AG8" s="35" t="str">
        <f>IF($B8=0,0,IF(AG$7="х","х",IF(AND(AG$7&gt;=Параметры!$D$26,AG$7&lt;=Параметры!$F$26),"О",0)))</f>
        <v>О</v>
      </c>
      <c r="AH8" s="35" t="str">
        <f>IF($B8=0,0,IF(AH$7="х","х",IF(AND(AH$7&gt;=Параметры!$D$26,AH$7&lt;=Параметры!$F$26),"О",0)))</f>
        <v>х</v>
      </c>
      <c r="AI8" s="13">
        <f t="shared" ref="AI8:AI23" si="26">AN8-AJ8</f>
        <v>110</v>
      </c>
      <c r="AJ8" s="13">
        <f>SUMPRODUCT(--TEXT(SUBSTITUTE(SUBSTITUTE(D8:AH8,"7,5/4",11.5),"н",),"0,00;;\0;\0"))+COUNTIF(D8:AH8,"К")*8+COUNTIF(D8:AH8,"Кп")*7</f>
        <v>57</v>
      </c>
      <c r="AK8" s="53">
        <f>COUNTIF(D8:AH8,"4")*2+COUNTIF(D8:AH8,"7,5")*6+COUNTIF(D8:AH8,"7,5/4")*8</f>
        <v>18</v>
      </c>
      <c r="AL8" s="13">
        <f>SUMPRODUCT((D$7:AH$7=Параметры!F$3:F$21)*TEXT(SUBSTITUTE(D8:AH8,"н",),"0,00;;0;\0"))</f>
        <v>0</v>
      </c>
      <c r="AM8" s="47"/>
      <c r="AN8" s="13">
        <f>VLOOKUP(TEXT($T$5,"ММММ"),Параметры!A$3:J$14,9,0)</f>
        <v>167</v>
      </c>
    </row>
    <row r="9" spans="1:40" s="10" customFormat="1" ht="30" customHeight="1" x14ac:dyDescent="0.2">
      <c r="A9" s="11">
        <f>Параметры!A27</f>
        <v>1904068</v>
      </c>
      <c r="B9" s="12">
        <f>Параметры!B27</f>
        <v>0</v>
      </c>
      <c r="C9" s="49" t="str">
        <f>Параметры!C27</f>
        <v>Инженер</v>
      </c>
      <c r="D9" s="35">
        <f>IF($B9=0,0,IF(D$7="х","х",IF(AND(D$7&gt;=Параметры!$D$27,D$7&lt;=Параметры!$F$27),"О",0)))</f>
        <v>0</v>
      </c>
      <c r="E9" s="35">
        <f>IF($B9=0,0,IF(E$7="х","х",IF(AND(E$7&gt;=Параметры!$D$27,E$7&lt;=Параметры!$F$27),"О",0)))</f>
        <v>0</v>
      </c>
      <c r="F9" s="35">
        <f>IF($B9=0,0,IF(F$7="х","х",IF(AND(F$7&gt;=Параметры!$D$27,F$7&lt;=Параметры!$F$27),"О",0)))</f>
        <v>0</v>
      </c>
      <c r="G9" s="35">
        <f>IF($B9=0,0,IF(G$7="х","х",IF(AND(G$7&gt;=Параметры!$D$27,G$7&lt;=Параметры!$F$27),"О",0)))</f>
        <v>0</v>
      </c>
      <c r="H9" s="35">
        <f>IF($B9=0,0,IF(H$7="х","х",IF(AND(H$7&gt;=Параметры!$D$27,H$7&lt;=Параметры!$F$27),"О",0)))</f>
        <v>0</v>
      </c>
      <c r="I9" s="35">
        <f>IF($B9=0,0,IF(I$7="х","х",IF(AND(I$7&gt;=Параметры!$D$27,I$7&lt;=Параметры!$F$27),"О",0)))</f>
        <v>0</v>
      </c>
      <c r="J9" s="35">
        <f>IF($B9=0,0,IF(J$7="х","х",IF(AND(J$7&gt;=Параметры!$D$27,J$7&lt;=Параметры!$F$27),"О",0)))</f>
        <v>0</v>
      </c>
      <c r="K9" s="35">
        <f>IF($B9=0,0,IF(K$7="х","х",IF(AND(K$7&gt;=Параметры!$D$27,K$7&lt;=Параметры!$F$27),"О",0)))</f>
        <v>0</v>
      </c>
      <c r="L9" s="35">
        <f>IF($B9=0,0,IF(L$7="х","х",IF(AND(L$7&gt;=Параметры!$D$27,L$7&lt;=Параметры!$F$27),"О",0)))</f>
        <v>0</v>
      </c>
      <c r="M9" s="35">
        <f>IF($B9=0,0,IF(M$7="х","х",IF(AND(M$7&gt;=Параметры!$D$27,M$7&lt;=Параметры!$F$27),"О",0)))</f>
        <v>0</v>
      </c>
      <c r="N9" s="35">
        <f>IF($B9=0,0,IF(N$7="х","х",IF(AND(N$7&gt;=Параметры!$D$27,N$7&lt;=Параметры!$F$27),"О",0)))</f>
        <v>0</v>
      </c>
      <c r="O9" s="35">
        <f>IF($B9=0,0,IF(O$7="х","х",IF(AND(O$7&gt;=Параметры!$D$27,O$7&lt;=Параметры!$F$27),"О",0)))</f>
        <v>0</v>
      </c>
      <c r="P9" s="35">
        <f>IF($B9=0,0,IF(P$7="х","х",IF(AND(P$7&gt;=Параметры!$D$27,P$7&lt;=Параметры!$F$27),"О",0)))</f>
        <v>0</v>
      </c>
      <c r="Q9" s="35">
        <f>IF($B9=0,0,IF(Q$7="х","х",IF(AND(Q$7&gt;=Параметры!$D$27,Q$7&lt;=Параметры!$F$27),"О",0)))</f>
        <v>0</v>
      </c>
      <c r="R9" s="35">
        <f>IF($B9=0,0,IF(R$7="х","х",IF(AND(R$7&gt;=Параметры!$D$27,R$7&lt;=Параметры!$F$27),"О",0)))</f>
        <v>0</v>
      </c>
      <c r="S9" s="35">
        <f>IF($B9=0,0,IF(S$7="х","х",IF(AND(S$7&gt;=Параметры!$D$27,S$7&lt;=Параметры!$F$27),"О",0)))</f>
        <v>0</v>
      </c>
      <c r="T9" s="35">
        <f>IF($B9=0,0,IF(T$7="х","х",IF(AND(T$7&gt;=Параметры!$D$27,T$7&lt;=Параметры!$F$27),"О",0)))</f>
        <v>0</v>
      </c>
      <c r="U9" s="35">
        <f>IF($B9=0,0,IF(U$7="х","х",IF(AND(U$7&gt;=Параметры!$D$27,U$7&lt;=Параметры!$F$27),"О",0)))</f>
        <v>0</v>
      </c>
      <c r="V9" s="35">
        <f>IF($B9=0,0,IF(V$7="х","х",IF(AND(V$7&gt;=Параметры!$D$27,V$7&lt;=Параметры!$F$27),"О",0)))</f>
        <v>0</v>
      </c>
      <c r="W9" s="35">
        <f>IF($B9=0,0,IF(W$7="х","х",IF(AND(W$7&gt;=Параметры!$D$27,W$7&lt;=Параметры!$F$27),"О",0)))</f>
        <v>0</v>
      </c>
      <c r="X9" s="35">
        <f>IF($B9=0,0,IF(X$7="х","х",IF(AND(X$7&gt;=Параметры!$D$27,X$7&lt;=Параметры!$F$27),"О",0)))</f>
        <v>0</v>
      </c>
      <c r="Y9" s="35">
        <f>IF($B9=0,0,IF(Y$7="х","х",IF(AND(Y$7&gt;=Параметры!$D$27,Y$7&lt;=Параметры!$F$27),"О",0)))</f>
        <v>0</v>
      </c>
      <c r="Z9" s="35">
        <f>IF($B9=0,0,IF(Z$7="х","х",IF(AND(Z$7&gt;=Параметры!$D$27,Z$7&lt;=Параметры!$F$27),"О",0)))</f>
        <v>0</v>
      </c>
      <c r="AA9" s="35">
        <f>IF($B9=0,0,IF(AA$7="х","х",IF(AND(AA$7&gt;=Параметры!$D$27,AA$7&lt;=Параметры!$F$27),"О",0)))</f>
        <v>0</v>
      </c>
      <c r="AB9" s="35">
        <f>IF($B9=0,0,IF(AB$7="х","х",IF(AND(AB$7&gt;=Параметры!$D$27,AB$7&lt;=Параметры!$F$27),"О",0)))</f>
        <v>0</v>
      </c>
      <c r="AC9" s="35">
        <f>IF($B9=0,0,IF(AC$7="х","х",IF(AND(AC$7&gt;=Параметры!$D$27,AC$7&lt;=Параметры!$F$27),"О",0)))</f>
        <v>0</v>
      </c>
      <c r="AD9" s="35">
        <f>IF($B9=0,0,IF(AD$7="х","х",IF(AND(AD$7&gt;=Параметры!$D$27,AD$7&lt;=Параметры!$F$27),"О",0)))</f>
        <v>0</v>
      </c>
      <c r="AE9" s="35">
        <f>IF($B9=0,0,IF(AE$7="х","х",IF(AND(AE$7&gt;=Параметры!$D$27,AE$7&lt;=Параметры!$F$27),"О",0)))</f>
        <v>0</v>
      </c>
      <c r="AF9" s="35">
        <f>IF($B9=0,0,IF(AF$7="х","х",IF(AND(AF$7&gt;=Параметры!$D$27,AF$7&lt;=Параметры!$F$27),"О",0)))</f>
        <v>0</v>
      </c>
      <c r="AG9" s="35">
        <f>IF($B9=0,0,IF(AG$7="х","х",IF(AND(AG$7&gt;=Параметры!$D$27,AG$7&lt;=Параметры!$F$27),"О",0)))</f>
        <v>0</v>
      </c>
      <c r="AH9" s="35">
        <f>IF($B9=0,0,IF(AH$7="х","х",IF(AND(AH$7&gt;=Параметры!$D$27,AH$7&lt;=Параметры!$F$27),"О",0)))</f>
        <v>0</v>
      </c>
      <c r="AI9" s="13">
        <f t="shared" si="26"/>
        <v>167</v>
      </c>
      <c r="AJ9" s="13">
        <f t="shared" ref="AJ9:AJ23" si="27">SUMPRODUCT(--TEXT(SUBSTITUTE(SUBSTITUTE(D9:AH9,"7,5/4",11.5),"н",),"0,00;;\0;\0"))+COUNTIF(D9:AH9,"К")*8+COUNTIF(D9:AH9,"Кп")*7</f>
        <v>0</v>
      </c>
      <c r="AK9" s="53">
        <f t="shared" ref="AK9:AK23" si="28">COUNTIF(D9:AH9,"4")*2+COUNTIF(D9:AH9,"7,5")*6+COUNTIF(D9:AH9,"7,5/4")*8</f>
        <v>0</v>
      </c>
      <c r="AL9" s="13">
        <f>SUMPRODUCT((D$7:AH$7=Параметры!F$3:F$21)*TEXT(SUBSTITUTE(D9:AH9,"н",),"0,00;;0;\0"))</f>
        <v>0</v>
      </c>
      <c r="AM9" s="47"/>
      <c r="AN9" s="13">
        <f>VLOOKUP(TEXT($T$5,"ММММ"),Параметры!A$3:J$14,9,0)</f>
        <v>167</v>
      </c>
    </row>
    <row r="10" spans="1:40" s="10" customFormat="1" ht="30" customHeight="1" x14ac:dyDescent="0.2">
      <c r="A10" s="11">
        <f>Параметры!A28</f>
        <v>1915436</v>
      </c>
      <c r="B10" s="12">
        <f>Параметры!B28</f>
        <v>0</v>
      </c>
      <c r="C10" s="49" t="str">
        <f>Параметры!C28</f>
        <v>Электромеханик</v>
      </c>
      <c r="D10" s="35">
        <f>IF($B10=0,0,IF(D$7="х","х",IF(AND(D$7&gt;=Параметры!$D$28,D$7&lt;=Параметры!$F$28),"О",0)))</f>
        <v>0</v>
      </c>
      <c r="E10" s="35">
        <f>IF($B10=0,0,IF(E$7="х","х",IF(AND(E$7&gt;=Параметры!$D$28,E$7&lt;=Параметры!$F$28),"О",0)))</f>
        <v>0</v>
      </c>
      <c r="F10" s="35">
        <f>IF($B10=0,0,IF(F$7="х","х",IF(AND(F$7&gt;=Параметры!$D$28,F$7&lt;=Параметры!$F$28),"О",0)))</f>
        <v>0</v>
      </c>
      <c r="G10" s="35">
        <f>IF($B10=0,0,IF(G$7="х","х",IF(AND(G$7&gt;=Параметры!$D$28,G$7&lt;=Параметры!$F$28),"О",0)))</f>
        <v>0</v>
      </c>
      <c r="H10" s="35">
        <f>IF($B10=0,0,IF(H$7="х","х",IF(AND(H$7&gt;=Параметры!$D$28,H$7&lt;=Параметры!$F$28),"О",0)))</f>
        <v>0</v>
      </c>
      <c r="I10" s="35">
        <f>IF($B10=0,0,IF(I$7="х","х",IF(AND(I$7&gt;=Параметры!$D$28,I$7&lt;=Параметры!$F$28),"О",0)))</f>
        <v>0</v>
      </c>
      <c r="J10" s="35">
        <f>IF($B10=0,0,IF(J$7="х","х",IF(AND(J$7&gt;=Параметры!$D$28,J$7&lt;=Параметры!$F$28),"О",0)))</f>
        <v>0</v>
      </c>
      <c r="K10" s="35">
        <f>IF($B10=0,0,IF(K$7="х","х",IF(AND(K$7&gt;=Параметры!$D$28,K$7&lt;=Параметры!$F$28),"О",0)))</f>
        <v>0</v>
      </c>
      <c r="L10" s="35">
        <f>IF($B10=0,0,IF(L$7="х","х",IF(AND(L$7&gt;=Параметры!$D$28,L$7&lt;=Параметры!$F$28),"О",0)))</f>
        <v>0</v>
      </c>
      <c r="M10" s="35">
        <f>IF($B10=0,0,IF(M$7="х","х",IF(AND(M$7&gt;=Параметры!$D$28,M$7&lt;=Параметры!$F$28),"О",0)))</f>
        <v>0</v>
      </c>
      <c r="N10" s="35">
        <f>IF($B10=0,0,IF(N$7="х","х",IF(AND(N$7&gt;=Параметры!$D$28,N$7&lt;=Параметры!$F$28),"О",0)))</f>
        <v>0</v>
      </c>
      <c r="O10" s="35">
        <f>IF($B10=0,0,IF(O$7="х","х",IF(AND(O$7&gt;=Параметры!$D$28,O$7&lt;=Параметры!$F$28),"О",0)))</f>
        <v>0</v>
      </c>
      <c r="P10" s="35">
        <f>IF($B10=0,0,IF(P$7="х","х",IF(AND(P$7&gt;=Параметры!$D$28,P$7&lt;=Параметры!$F$28),"О",0)))</f>
        <v>0</v>
      </c>
      <c r="Q10" s="35">
        <f>IF($B10=0,0,IF(Q$7="х","х",IF(AND(Q$7&gt;=Параметры!$D$28,Q$7&lt;=Параметры!$F$28),"О",0)))</f>
        <v>0</v>
      </c>
      <c r="R10" s="35">
        <f>IF($B10=0,0,IF(R$7="х","х",IF(AND(R$7&gt;=Параметры!$D$28,R$7&lt;=Параметры!$F$28),"О",0)))</f>
        <v>0</v>
      </c>
      <c r="S10" s="35">
        <f>IF($B10=0,0,IF(S$7="х","х",IF(AND(S$7&gt;=Параметры!$D$28,S$7&lt;=Параметры!$F$28),"О",0)))</f>
        <v>0</v>
      </c>
      <c r="T10" s="35">
        <f>IF($B10=0,0,IF(T$7="х","х",IF(AND(T$7&gt;=Параметры!$D$28,T$7&lt;=Параметры!$F$28),"О",0)))</f>
        <v>0</v>
      </c>
      <c r="U10" s="35">
        <f>IF($B10=0,0,IF(U$7="х","х",IF(AND(U$7&gt;=Параметры!$D$28,U$7&lt;=Параметры!$F$28),"О",0)))</f>
        <v>0</v>
      </c>
      <c r="V10" s="35">
        <f>IF($B10=0,0,IF(V$7="х","х",IF(AND(V$7&gt;=Параметры!$D$28,V$7&lt;=Параметры!$F$28),"О",0)))</f>
        <v>0</v>
      </c>
      <c r="W10" s="35">
        <f>IF($B10=0,0,IF(W$7="х","х",IF(AND(W$7&gt;=Параметры!$D$28,W$7&lt;=Параметры!$F$28),"О",0)))</f>
        <v>0</v>
      </c>
      <c r="X10" s="35">
        <f>IF($B10=0,0,IF(X$7="х","х",IF(AND(X$7&gt;=Параметры!$D$28,X$7&lt;=Параметры!$F$28),"О",0)))</f>
        <v>0</v>
      </c>
      <c r="Y10" s="35">
        <f>IF($B10=0,0,IF(Y$7="х","х",IF(AND(Y$7&gt;=Параметры!$D$28,Y$7&lt;=Параметры!$F$28),"О",0)))</f>
        <v>0</v>
      </c>
      <c r="Z10" s="35">
        <f>IF($B10=0,0,IF(Z$7="х","х",IF(AND(Z$7&gt;=Параметры!$D$28,Z$7&lt;=Параметры!$F$28),"О",0)))</f>
        <v>0</v>
      </c>
      <c r="AA10" s="35">
        <f>IF($B10=0,0,IF(AA$7="х","х",IF(AND(AA$7&gt;=Параметры!$D$28,AA$7&lt;=Параметры!$F$28),"О",0)))</f>
        <v>0</v>
      </c>
      <c r="AB10" s="35">
        <f>IF($B10=0,0,IF(AB$7="х","х",IF(AND(AB$7&gt;=Параметры!$D$28,AB$7&lt;=Параметры!$F$28),"О",0)))</f>
        <v>0</v>
      </c>
      <c r="AC10" s="35">
        <f>IF($B10=0,0,IF(AC$7="х","х",IF(AND(AC$7&gt;=Параметры!$D$28,AC$7&lt;=Параметры!$F$28),"О",0)))</f>
        <v>0</v>
      </c>
      <c r="AD10" s="35">
        <f>IF($B10=0,0,IF(AD$7="х","х",IF(AND(AD$7&gt;=Параметры!$D$28,AD$7&lt;=Параметры!$F$28),"О",0)))</f>
        <v>0</v>
      </c>
      <c r="AE10" s="35">
        <f>IF($B10=0,0,IF(AE$7="х","х",IF(AND(AE$7&gt;=Параметры!$D$28,AE$7&lt;=Параметры!$F$28),"О",0)))</f>
        <v>0</v>
      </c>
      <c r="AF10" s="35">
        <f>IF($B10=0,0,IF(AF$7="х","х",IF(AND(AF$7&gt;=Параметры!$D$28,AF$7&lt;=Параметры!$F$28),"О",0)))</f>
        <v>0</v>
      </c>
      <c r="AG10" s="35">
        <f>IF($B10=0,0,IF(AG$7="х","х",IF(AND(AG$7&gt;=Параметры!$D$28,AG$7&lt;=Параметры!$F$28),"О",0)))</f>
        <v>0</v>
      </c>
      <c r="AH10" s="35">
        <f>IF($B10=0,0,IF(AH$7="х","х",IF(AND(AH$7&gt;=Параметры!$D$28,AH$7&lt;=Параметры!$F$28),"О",0)))</f>
        <v>0</v>
      </c>
      <c r="AI10" s="13">
        <f t="shared" si="26"/>
        <v>167</v>
      </c>
      <c r="AJ10" s="13">
        <f t="shared" si="27"/>
        <v>0</v>
      </c>
      <c r="AK10" s="53">
        <f t="shared" si="28"/>
        <v>0</v>
      </c>
      <c r="AL10" s="13">
        <f>SUMPRODUCT((D$7:AH$7=Параметры!F$3:F$21)*TEXT(SUBSTITUTE(D10:AH10,"н",),"0,00;;0;\0"))</f>
        <v>0</v>
      </c>
      <c r="AM10" s="47"/>
      <c r="AN10" s="13">
        <f>VLOOKUP(TEXT($T$5,"ММММ"),Параметры!A$3:J$14,9,0)</f>
        <v>167</v>
      </c>
    </row>
    <row r="11" spans="1:40" s="10" customFormat="1" ht="30" customHeight="1" x14ac:dyDescent="0.2">
      <c r="A11" s="11">
        <f>Параметры!A29</f>
        <v>1912045</v>
      </c>
      <c r="B11" s="12">
        <f>Параметры!B29</f>
        <v>0</v>
      </c>
      <c r="C11" s="49" t="str">
        <f>Параметры!C29</f>
        <v>Электромеханик</v>
      </c>
      <c r="D11" s="35">
        <f>IF($B11=0,0,IF(D$7="х","х",IF(AND(D$7&gt;=Параметры!$D$29,D$7&lt;=Параметры!$F$29),"О",0)))</f>
        <v>0</v>
      </c>
      <c r="E11" s="35">
        <f>IF($B11=0,0,IF(E$7="х","х",IF(AND(E$7&gt;=Параметры!$D$29,E$7&lt;=Параметры!$F$29),"О",0)))</f>
        <v>0</v>
      </c>
      <c r="F11" s="35">
        <f>IF($B11=0,0,IF(F$7="х","х",IF(AND(F$7&gt;=Параметры!$D$29,F$7&lt;=Параметры!$F$29),"О",0)))</f>
        <v>0</v>
      </c>
      <c r="G11" s="35">
        <f>IF($B11=0,0,IF(G$7="х","х",IF(AND(G$7&gt;=Параметры!$D$29,G$7&lt;=Параметры!$F$29),"О",0)))</f>
        <v>0</v>
      </c>
      <c r="H11" s="35">
        <f>IF($B11=0,0,IF(H$7="х","х",IF(AND(H$7&gt;=Параметры!$D$29,H$7&lt;=Параметры!$F$29),"О",0)))</f>
        <v>0</v>
      </c>
      <c r="I11" s="35">
        <f>IF($B11=0,0,IF(I$7="х","х",IF(AND(I$7&gt;=Параметры!$D$29,I$7&lt;=Параметры!$F$29),"О",0)))</f>
        <v>0</v>
      </c>
      <c r="J11" s="35">
        <f>IF($B11=0,0,IF(J$7="х","х",IF(AND(J$7&gt;=Параметры!$D$29,J$7&lt;=Параметры!$F$29),"О",0)))</f>
        <v>0</v>
      </c>
      <c r="K11" s="35">
        <f>IF($B11=0,0,IF(K$7="х","х",IF(AND(K$7&gt;=Параметры!$D$29,K$7&lt;=Параметры!$F$29),"О",0)))</f>
        <v>0</v>
      </c>
      <c r="L11" s="35">
        <f>IF($B11=0,0,IF(L$7="х","х",IF(AND(L$7&gt;=Параметры!$D$29,L$7&lt;=Параметры!$F$29),"О",0)))</f>
        <v>0</v>
      </c>
      <c r="M11" s="35">
        <f>IF($B11=0,0,IF(M$7="х","х",IF(AND(M$7&gt;=Параметры!$D$29,M$7&lt;=Параметры!$F$29),"О",0)))</f>
        <v>0</v>
      </c>
      <c r="N11" s="35">
        <f>IF($B11=0,0,IF(N$7="х","х",IF(AND(N$7&gt;=Параметры!$D$29,N$7&lt;=Параметры!$F$29),"О",0)))</f>
        <v>0</v>
      </c>
      <c r="O11" s="35">
        <f>IF($B11=0,0,IF(O$7="х","х",IF(AND(O$7&gt;=Параметры!$D$29,O$7&lt;=Параметры!$F$29),"О",0)))</f>
        <v>0</v>
      </c>
      <c r="P11" s="35">
        <f>IF($B11=0,0,IF(P$7="х","х",IF(AND(P$7&gt;=Параметры!$D$29,P$7&lt;=Параметры!$F$29),"О",0)))</f>
        <v>0</v>
      </c>
      <c r="Q11" s="35">
        <f>IF($B11=0,0,IF(Q$7="х","х",IF(AND(Q$7&gt;=Параметры!$D$29,Q$7&lt;=Параметры!$F$29),"О",0)))</f>
        <v>0</v>
      </c>
      <c r="R11" s="35">
        <f>IF($B11=0,0,IF(R$7="х","х",IF(AND(R$7&gt;=Параметры!$D$29,R$7&lt;=Параметры!$F$29),"О",0)))</f>
        <v>0</v>
      </c>
      <c r="S11" s="35">
        <f>IF($B11=0,0,IF(S$7="х","х",IF(AND(S$7&gt;=Параметры!$D$29,S$7&lt;=Параметры!$F$29),"О",0)))</f>
        <v>0</v>
      </c>
      <c r="T11" s="35">
        <f>IF($B11=0,0,IF(T$7="х","х",IF(AND(T$7&gt;=Параметры!$D$29,T$7&lt;=Параметры!$F$29),"О",0)))</f>
        <v>0</v>
      </c>
      <c r="U11" s="35">
        <f>IF($B11=0,0,IF(U$7="х","х",IF(AND(U$7&gt;=Параметры!$D$29,U$7&lt;=Параметры!$F$29),"О",0)))</f>
        <v>0</v>
      </c>
      <c r="V11" s="35">
        <f>IF($B11=0,0,IF(V$7="х","х",IF(AND(V$7&gt;=Параметры!$D$29,V$7&lt;=Параметры!$F$29),"О",0)))</f>
        <v>0</v>
      </c>
      <c r="W11" s="35">
        <f>IF($B11=0,0,IF(W$7="х","х",IF(AND(W$7&gt;=Параметры!$D$29,W$7&lt;=Параметры!$F$29),"О",0)))</f>
        <v>0</v>
      </c>
      <c r="X11" s="35">
        <f>IF($B11=0,0,IF(X$7="х","х",IF(AND(X$7&gt;=Параметры!$D$29,X$7&lt;=Параметры!$F$29),"О",0)))</f>
        <v>0</v>
      </c>
      <c r="Y11" s="35">
        <f>IF($B11=0,0,IF(Y$7="х","х",IF(AND(Y$7&gt;=Параметры!$D$29,Y$7&lt;=Параметры!$F$29),"О",0)))</f>
        <v>0</v>
      </c>
      <c r="Z11" s="35">
        <f>IF($B11=0,0,IF(Z$7="х","х",IF(AND(Z$7&gt;=Параметры!$D$29,Z$7&lt;=Параметры!$F$29),"О",0)))</f>
        <v>0</v>
      </c>
      <c r="AA11" s="35">
        <f>IF($B11=0,0,IF(AA$7="х","х",IF(AND(AA$7&gt;=Параметры!$D$29,AA$7&lt;=Параметры!$F$29),"О",0)))</f>
        <v>0</v>
      </c>
      <c r="AB11" s="35">
        <f>IF($B11=0,0,IF(AB$7="х","х",IF(AND(AB$7&gt;=Параметры!$D$29,AB$7&lt;=Параметры!$F$29),"О",0)))</f>
        <v>0</v>
      </c>
      <c r="AC11" s="35">
        <f>IF($B11=0,0,IF(AC$7="х","х",IF(AND(AC$7&gt;=Параметры!$D$29,AC$7&lt;=Параметры!$F$29),"О",0)))</f>
        <v>0</v>
      </c>
      <c r="AD11" s="35">
        <f>IF($B11=0,0,IF(AD$7="х","х",IF(AND(AD$7&gt;=Параметры!$D$29,AD$7&lt;=Параметры!$F$29),"О",0)))</f>
        <v>0</v>
      </c>
      <c r="AE11" s="35">
        <f>IF($B11=0,0,IF(AE$7="х","х",IF(AND(AE$7&gt;=Параметры!$D$29,AE$7&lt;=Параметры!$F$29),"О",0)))</f>
        <v>0</v>
      </c>
      <c r="AF11" s="35">
        <f>IF($B11=0,0,IF(AF$7="х","х",IF(AND(AF$7&gt;=Параметры!$D$29,AF$7&lt;=Параметры!$F$29),"О",0)))</f>
        <v>0</v>
      </c>
      <c r="AG11" s="35">
        <f>IF($B11=0,0,IF(AG$7="х","х",IF(AND(AG$7&gt;=Параметры!$D$29,AG$7&lt;=Параметры!$F$29),"О",0)))</f>
        <v>0</v>
      </c>
      <c r="AH11" s="35">
        <f>IF($B11=0,0,IF(AH$7="х","х",IF(AND(AH$7&gt;=Параметры!$D$29,AH$7&lt;=Параметры!$F$29),"О",0)))</f>
        <v>0</v>
      </c>
      <c r="AI11" s="13">
        <f t="shared" si="26"/>
        <v>150.19999999999999</v>
      </c>
      <c r="AJ11" s="13">
        <f t="shared" si="27"/>
        <v>0</v>
      </c>
      <c r="AK11" s="53">
        <f t="shared" si="28"/>
        <v>0</v>
      </c>
      <c r="AL11" s="13">
        <f>SUMPRODUCT((D$7:AH$7=Параметры!F$3:F$21)*TEXT(SUBSTITUTE(D11:AH11,"н",),"0,00;;0;\0"))</f>
        <v>0</v>
      </c>
      <c r="AM11" s="47"/>
      <c r="AN11" s="13">
        <f>VLOOKUP(TEXT($T$5,"ММММ"),Параметры!A$3:J$14,10,0)</f>
        <v>150.19999999999999</v>
      </c>
    </row>
    <row r="12" spans="1:40" s="10" customFormat="1" ht="30" customHeight="1" x14ac:dyDescent="0.2">
      <c r="A12" s="11">
        <f>Параметры!A30</f>
        <v>1912103</v>
      </c>
      <c r="B12" s="12">
        <f>Параметры!B30</f>
        <v>0</v>
      </c>
      <c r="C12" s="49" t="str">
        <f>Параметры!C30</f>
        <v>Электромеханик</v>
      </c>
      <c r="D12" s="35">
        <f>IF($B12=0,0,IF(D$7="х","х",IF(AND(D$7&gt;=Параметры!$D$30,D$7&lt;=Параметры!$F$30),"О",0)))</f>
        <v>0</v>
      </c>
      <c r="E12" s="35">
        <f>IF($B12=0,0,IF(E$7="х","х",IF(AND(E$7&gt;=Параметры!$D$30,E$7&lt;=Параметры!$F$30),"О",0)))</f>
        <v>0</v>
      </c>
      <c r="F12" s="35">
        <f>IF($B12=0,0,IF(F$7="х","х",IF(AND(F$7&gt;=Параметры!$D$30,F$7&lt;=Параметры!$F$30),"О",0)))</f>
        <v>0</v>
      </c>
      <c r="G12" s="35">
        <f>IF($B12=0,0,IF(G$7="х","х",IF(AND(G$7&gt;=Параметры!$D$30,G$7&lt;=Параметры!$F$30),"О",0)))</f>
        <v>0</v>
      </c>
      <c r="H12" s="35">
        <f>IF($B12=0,0,IF(H$7="х","х",IF(AND(H$7&gt;=Параметры!$D$30,H$7&lt;=Параметры!$F$30),"О",0)))</f>
        <v>0</v>
      </c>
      <c r="I12" s="35">
        <f>IF($B12=0,0,IF(I$7="х","х",IF(AND(I$7&gt;=Параметры!$D$30,I$7&lt;=Параметры!$F$30),"О",0)))</f>
        <v>0</v>
      </c>
      <c r="J12" s="35">
        <f>IF($B12=0,0,IF(J$7="х","х",IF(AND(J$7&gt;=Параметры!$D$30,J$7&lt;=Параметры!$F$30),"О",0)))</f>
        <v>0</v>
      </c>
      <c r="K12" s="35">
        <f>IF($B12=0,0,IF(K$7="х","х",IF(AND(K$7&gt;=Параметры!$D$30,K$7&lt;=Параметры!$F$30),"О",0)))</f>
        <v>0</v>
      </c>
      <c r="L12" s="35">
        <f>IF($B12=0,0,IF(L$7="х","х",IF(AND(L$7&gt;=Параметры!$D$30,L$7&lt;=Параметры!$F$30),"О",0)))</f>
        <v>0</v>
      </c>
      <c r="M12" s="35">
        <f>IF($B12=0,0,IF(M$7="х","х",IF(AND(M$7&gt;=Параметры!$D$30,M$7&lt;=Параметры!$F$30),"О",0)))</f>
        <v>0</v>
      </c>
      <c r="N12" s="35">
        <f>IF($B12=0,0,IF(N$7="х","х",IF(AND(N$7&gt;=Параметры!$D$30,N$7&lt;=Параметры!$F$30),"О",0)))</f>
        <v>0</v>
      </c>
      <c r="O12" s="35">
        <f>IF($B12=0,0,IF(O$7="х","х",IF(AND(O$7&gt;=Параметры!$D$30,O$7&lt;=Параметры!$F$30),"О",0)))</f>
        <v>0</v>
      </c>
      <c r="P12" s="35">
        <f>IF($B12=0,0,IF(P$7="х","х",IF(AND(P$7&gt;=Параметры!$D$30,P$7&lt;=Параметры!$F$30),"О",0)))</f>
        <v>0</v>
      </c>
      <c r="Q12" s="35">
        <f>IF($B12=0,0,IF(Q$7="х","х",IF(AND(Q$7&gt;=Параметры!$D$30,Q$7&lt;=Параметры!$F$30),"О",0)))</f>
        <v>0</v>
      </c>
      <c r="R12" s="35">
        <f>IF($B12=0,0,IF(R$7="х","х",IF(AND(R$7&gt;=Параметры!$D$30,R$7&lt;=Параметры!$F$30),"О",0)))</f>
        <v>0</v>
      </c>
      <c r="S12" s="35">
        <f>IF($B12=0,0,IF(S$7="х","х",IF(AND(S$7&gt;=Параметры!$D$30,S$7&lt;=Параметры!$F$30),"О",0)))</f>
        <v>0</v>
      </c>
      <c r="T12" s="35">
        <f>IF($B12=0,0,IF(T$7="х","х",IF(AND(T$7&gt;=Параметры!$D$30,T$7&lt;=Параметры!$F$30),"О",0)))</f>
        <v>0</v>
      </c>
      <c r="U12" s="35">
        <f>IF($B12=0,0,IF(U$7="х","х",IF(AND(U$7&gt;=Параметры!$D$30,U$7&lt;=Параметры!$F$30),"О",0)))</f>
        <v>0</v>
      </c>
      <c r="V12" s="35">
        <f>IF($B12=0,0,IF(V$7="х","х",IF(AND(V$7&gt;=Параметры!$D$30,V$7&lt;=Параметры!$F$30),"О",0)))</f>
        <v>0</v>
      </c>
      <c r="W12" s="35">
        <f>IF($B12=0,0,IF(W$7="х","х",IF(AND(W$7&gt;=Параметры!$D$30,W$7&lt;=Параметры!$F$30),"О",0)))</f>
        <v>0</v>
      </c>
      <c r="X12" s="35">
        <f>IF($B12=0,0,IF(X$7="х","х",IF(AND(X$7&gt;=Параметры!$D$30,X$7&lt;=Параметры!$F$30),"О",0)))</f>
        <v>0</v>
      </c>
      <c r="Y12" s="35">
        <f>IF($B12=0,0,IF(Y$7="х","х",IF(AND(Y$7&gt;=Параметры!$D$30,Y$7&lt;=Параметры!$F$30),"О",0)))</f>
        <v>0</v>
      </c>
      <c r="Z12" s="35">
        <f>IF($B12=0,0,IF(Z$7="х","х",IF(AND(Z$7&gt;=Параметры!$D$30,Z$7&lt;=Параметры!$F$30),"О",0)))</f>
        <v>0</v>
      </c>
      <c r="AA12" s="35">
        <f>IF($B12=0,0,IF(AA$7="х","х",IF(AND(AA$7&gt;=Параметры!$D$30,AA$7&lt;=Параметры!$F$30),"О",0)))</f>
        <v>0</v>
      </c>
      <c r="AB12" s="35">
        <f>IF($B12=0,0,IF(AB$7="х","х",IF(AND(AB$7&gt;=Параметры!$D$30,AB$7&lt;=Параметры!$F$30),"О",0)))</f>
        <v>0</v>
      </c>
      <c r="AC12" s="35">
        <f>IF($B12=0,0,IF(AC$7="х","х",IF(AND(AC$7&gt;=Параметры!$D$30,AC$7&lt;=Параметры!$F$30),"О",0)))</f>
        <v>0</v>
      </c>
      <c r="AD12" s="35">
        <f>IF($B12=0,0,IF(AD$7="х","х",IF(AND(AD$7&gt;=Параметры!$D$30,AD$7&lt;=Параметры!$F$30),"О",0)))</f>
        <v>0</v>
      </c>
      <c r="AE12" s="35">
        <f>IF($B12=0,0,IF(AE$7="х","х",IF(AND(AE$7&gt;=Параметры!$D$30,AE$7&lt;=Параметры!$F$30),"О",0)))</f>
        <v>0</v>
      </c>
      <c r="AF12" s="35">
        <f>IF($B12=0,0,IF(AF$7="х","х",IF(AND(AF$7&gt;=Параметры!$D$30,AF$7&lt;=Параметры!$F$30),"О",0)))</f>
        <v>0</v>
      </c>
      <c r="AG12" s="35">
        <f>IF($B12=0,0,IF(AG$7="х","х",IF(AND(AG$7&gt;=Параметры!$D$30,AG$7&lt;=Параметры!$F$30),"О",0)))</f>
        <v>0</v>
      </c>
      <c r="AH12" s="35">
        <f>IF($B12=0,0,IF(AH$7="х","х",IF(AND(AH$7&gt;=Параметры!$D$30,AH$7&lt;=Параметры!$F$30),"О",0)))</f>
        <v>0</v>
      </c>
      <c r="AI12" s="13">
        <f t="shared" si="26"/>
        <v>167</v>
      </c>
      <c r="AJ12" s="13">
        <f t="shared" si="27"/>
        <v>0</v>
      </c>
      <c r="AK12" s="53">
        <f t="shared" si="28"/>
        <v>0</v>
      </c>
      <c r="AL12" s="13">
        <f>SUMPRODUCT((D$7:AH$7=Параметры!F$3:F$21)*TEXT(SUBSTITUTE(D12:AH12,"н",),"0,00;;0;\0"))</f>
        <v>0</v>
      </c>
      <c r="AM12" s="47"/>
      <c r="AN12" s="13">
        <f>VLOOKUP(TEXT($T$5,"ММММ"),Параметры!A$3:J$14,9,0)</f>
        <v>167</v>
      </c>
    </row>
    <row r="13" spans="1:40" s="10" customFormat="1" ht="30" customHeight="1" x14ac:dyDescent="0.2">
      <c r="A13" s="11">
        <f>Параметры!A31</f>
        <v>1912622</v>
      </c>
      <c r="B13" s="12">
        <f>Параметры!B31</f>
        <v>0</v>
      </c>
      <c r="C13" s="49" t="str">
        <f>Параметры!C31</f>
        <v>Электромонтер</v>
      </c>
      <c r="D13" s="211" t="s">
        <v>107</v>
      </c>
      <c r="E13" s="212"/>
      <c r="F13" s="212"/>
      <c r="G13" s="212"/>
      <c r="H13" s="212"/>
      <c r="I13" s="212"/>
      <c r="J13" s="213"/>
      <c r="K13" s="35" t="s">
        <v>102</v>
      </c>
      <c r="L13" s="35" t="s">
        <v>102</v>
      </c>
      <c r="M13" s="35" t="s">
        <v>102</v>
      </c>
      <c r="N13" s="35" t="s">
        <v>104</v>
      </c>
      <c r="O13" s="35" t="s">
        <v>105</v>
      </c>
      <c r="P13" s="35" t="s">
        <v>106</v>
      </c>
      <c r="Q13" s="35" t="s">
        <v>106</v>
      </c>
      <c r="R13" s="35" t="s">
        <v>102</v>
      </c>
      <c r="S13" s="35" t="s">
        <v>102</v>
      </c>
      <c r="T13" s="35" t="s">
        <v>102</v>
      </c>
      <c r="U13" s="35" t="s">
        <v>102</v>
      </c>
      <c r="V13" s="35" t="s">
        <v>102</v>
      </c>
      <c r="W13" s="35" t="s">
        <v>106</v>
      </c>
      <c r="X13" s="35" t="s">
        <v>106</v>
      </c>
      <c r="Y13" s="35" t="s">
        <v>102</v>
      </c>
      <c r="Z13" s="35" t="s">
        <v>102</v>
      </c>
      <c r="AA13" s="35" t="s">
        <v>102</v>
      </c>
      <c r="AB13" s="35" t="s">
        <v>102</v>
      </c>
      <c r="AC13" s="35" t="s">
        <v>102</v>
      </c>
      <c r="AD13" s="35" t="s">
        <v>106</v>
      </c>
      <c r="AE13" s="35" t="s">
        <v>106</v>
      </c>
      <c r="AF13" s="35" t="s">
        <v>102</v>
      </c>
      <c r="AG13" s="35" t="s">
        <v>102</v>
      </c>
      <c r="AH13" s="35" t="s">
        <v>103</v>
      </c>
      <c r="AI13" s="13">
        <f t="shared" si="26"/>
        <v>167</v>
      </c>
      <c r="AJ13" s="13">
        <f t="shared" si="27"/>
        <v>0</v>
      </c>
      <c r="AK13" s="53">
        <f t="shared" si="28"/>
        <v>0</v>
      </c>
      <c r="AL13" s="13">
        <f>SUMPRODUCT((D$7:AH$7=Параметры!F$3:F$21)*TEXT(SUBSTITUTE(D13:AH13,"н",),"0,00;;0;\0"))</f>
        <v>0</v>
      </c>
      <c r="AM13" s="47"/>
      <c r="AN13" s="13">
        <f>VLOOKUP(TEXT($T$5,"ММММ"),Параметры!A$3:J$14,9,0)</f>
        <v>167</v>
      </c>
    </row>
    <row r="14" spans="1:40" s="10" customFormat="1" ht="30" customHeight="1" x14ac:dyDescent="0.2">
      <c r="A14" s="11">
        <f>Параметры!A32</f>
        <v>1912114</v>
      </c>
      <c r="B14" s="12">
        <f>Параметры!B32</f>
        <v>0</v>
      </c>
      <c r="C14" s="49" t="str">
        <f>Параметры!C32</f>
        <v>Электромонтер</v>
      </c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13">
        <f t="shared" si="26"/>
        <v>167</v>
      </c>
      <c r="AJ14" s="13">
        <f t="shared" si="27"/>
        <v>0</v>
      </c>
      <c r="AK14" s="53">
        <f t="shared" si="28"/>
        <v>0</v>
      </c>
      <c r="AL14" s="13">
        <f>SUMPRODUCT((D$7:AH$7=Параметры!F$3:F$21)*TEXT(SUBSTITUTE(D14:AH14,"н",),"0,00;;0;\0"))</f>
        <v>0</v>
      </c>
      <c r="AM14" s="47"/>
      <c r="AN14" s="13">
        <f>VLOOKUP(TEXT($T$5,"ММММ"),Параметры!A$3:J$14,9,0)</f>
        <v>167</v>
      </c>
    </row>
    <row r="15" spans="1:40" s="10" customFormat="1" ht="30" customHeight="1" x14ac:dyDescent="0.2">
      <c r="A15" s="11">
        <f>Параметры!A33</f>
        <v>1925206</v>
      </c>
      <c r="B15" s="12">
        <f>Параметры!B33</f>
        <v>0</v>
      </c>
      <c r="C15" s="49" t="str">
        <f>Параметры!C33</f>
        <v>Телефонист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13">
        <f t="shared" si="26"/>
        <v>150.19999999999999</v>
      </c>
      <c r="AJ15" s="13">
        <f t="shared" si="27"/>
        <v>0</v>
      </c>
      <c r="AK15" s="53">
        <f t="shared" si="28"/>
        <v>0</v>
      </c>
      <c r="AL15" s="13">
        <f>SUMPRODUCT((D$7:AH$7=Параметры!F$3:F$21)*TEXT(SUBSTITUTE(D15:AH15,"н",),"0,00;;0;\0"))</f>
        <v>0</v>
      </c>
      <c r="AM15" s="47"/>
      <c r="AN15" s="13">
        <f>VLOOKUP(TEXT($T$5,"ММММ"),Параметры!A$3:J$14,10,0)</f>
        <v>150.19999999999999</v>
      </c>
    </row>
    <row r="16" spans="1:40" s="10" customFormat="1" ht="30" customHeight="1" x14ac:dyDescent="0.2">
      <c r="A16" s="11">
        <f>Параметры!A34</f>
        <v>1904059</v>
      </c>
      <c r="B16" s="12">
        <f>Параметры!B34</f>
        <v>0</v>
      </c>
      <c r="C16" s="49" t="str">
        <f>Параметры!C34</f>
        <v>Инженер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13">
        <f t="shared" si="26"/>
        <v>167</v>
      </c>
      <c r="AJ16" s="13">
        <f t="shared" si="27"/>
        <v>0</v>
      </c>
      <c r="AK16" s="53">
        <f t="shared" si="28"/>
        <v>0</v>
      </c>
      <c r="AL16" s="13">
        <f>SUMPRODUCT((D$7:AH$7=Параметры!F$3:F$21)*TEXT(SUBSTITUTE(D16:AH16,"н",),"0,00;;0;\0"))</f>
        <v>0</v>
      </c>
      <c r="AM16" s="47"/>
      <c r="AN16" s="13">
        <f>VLOOKUP(TEXT($T$5,"ММММ"),Параметры!A$3:J$14,9,0)</f>
        <v>167</v>
      </c>
    </row>
    <row r="17" spans="1:40" s="10" customFormat="1" ht="30" customHeight="1" x14ac:dyDescent="0.2">
      <c r="A17" s="11">
        <f>Параметры!A35</f>
        <v>1912510</v>
      </c>
      <c r="B17" s="12">
        <f>Параметры!B35</f>
        <v>0</v>
      </c>
      <c r="C17" s="49" t="str">
        <f>Параметры!C35</f>
        <v>Электромеханик</v>
      </c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13">
        <f t="shared" si="26"/>
        <v>150.19999999999999</v>
      </c>
      <c r="AJ17" s="13">
        <f t="shared" si="27"/>
        <v>0</v>
      </c>
      <c r="AK17" s="53">
        <f t="shared" si="28"/>
        <v>0</v>
      </c>
      <c r="AL17" s="13">
        <f>SUMPRODUCT((D$7:AH$7=Параметры!F$3:F$21)*TEXT(SUBSTITUTE(D17:AH17,"н",),"0,00;;0;\0"))</f>
        <v>0</v>
      </c>
      <c r="AM17" s="47"/>
      <c r="AN17" s="13">
        <f>VLOOKUP(TEXT($T$5,"ММММ"),Параметры!A$3:J$14,10,0)</f>
        <v>150.19999999999999</v>
      </c>
    </row>
    <row r="18" spans="1:40" s="10" customFormat="1" ht="30" customHeight="1" x14ac:dyDescent="0.2">
      <c r="A18" s="11">
        <f>Параметры!A36</f>
        <v>1912130</v>
      </c>
      <c r="B18" s="12">
        <f>Параметры!B36</f>
        <v>0</v>
      </c>
      <c r="C18" s="49" t="str">
        <f>Параметры!C36</f>
        <v>Электромеханик</v>
      </c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13">
        <f t="shared" si="26"/>
        <v>167</v>
      </c>
      <c r="AJ18" s="13">
        <f t="shared" si="27"/>
        <v>0</v>
      </c>
      <c r="AK18" s="53">
        <f t="shared" si="28"/>
        <v>0</v>
      </c>
      <c r="AL18" s="13">
        <f>SUMPRODUCT((D$7:AH$7=Параметры!F$3:F$21)*TEXT(SUBSTITUTE(D18:AH18,"н",),"0,00;;0;\0"))</f>
        <v>0</v>
      </c>
      <c r="AM18" s="47"/>
      <c r="AN18" s="13">
        <f>VLOOKUP(TEXT($T$5,"ММММ"),Параметры!A$3:J$14,9,0)</f>
        <v>167</v>
      </c>
    </row>
    <row r="19" spans="1:40" s="10" customFormat="1" ht="30" customHeight="1" x14ac:dyDescent="0.2">
      <c r="A19" s="11">
        <f>Параметры!A37</f>
        <v>1915704</v>
      </c>
      <c r="B19" s="12">
        <f>Параметры!B37</f>
        <v>0</v>
      </c>
      <c r="C19" s="49" t="str">
        <f>Параметры!C37</f>
        <v>Электромеханик</v>
      </c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13">
        <f t="shared" si="26"/>
        <v>167</v>
      </c>
      <c r="AJ19" s="13">
        <f t="shared" si="27"/>
        <v>0</v>
      </c>
      <c r="AK19" s="53">
        <f t="shared" si="28"/>
        <v>0</v>
      </c>
      <c r="AL19" s="13">
        <f>SUMPRODUCT((D$7:AH$7=Параметры!F$3:F$21)*TEXT(SUBSTITUTE(D19:AH19,"н",),"0,00;;0;\0"))</f>
        <v>0</v>
      </c>
      <c r="AM19" s="47"/>
      <c r="AN19" s="13">
        <f>VLOOKUP(TEXT($T$5,"ММММ"),Параметры!A$3:J$14,9,0)</f>
        <v>167</v>
      </c>
    </row>
    <row r="20" spans="1:40" s="10" customFormat="1" ht="30" customHeight="1" x14ac:dyDescent="0.2">
      <c r="A20" s="11">
        <f>Параметры!A38</f>
        <v>1912044</v>
      </c>
      <c r="B20" s="12">
        <f>Параметры!B38</f>
        <v>0</v>
      </c>
      <c r="C20" s="49" t="str">
        <f>Параметры!C38</f>
        <v>Электромонтер</v>
      </c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13">
        <f t="shared" si="26"/>
        <v>150.19999999999999</v>
      </c>
      <c r="AJ20" s="13">
        <f t="shared" si="27"/>
        <v>0</v>
      </c>
      <c r="AK20" s="53">
        <f t="shared" si="28"/>
        <v>0</v>
      </c>
      <c r="AL20" s="13">
        <f>SUMPRODUCT((D$7:AH$7=Параметры!F$3:F$21)*TEXT(SUBSTITUTE(D20:AH20,"н",),"0,00;;0;\0"))</f>
        <v>0</v>
      </c>
      <c r="AM20" s="47"/>
      <c r="AN20" s="13">
        <f>VLOOKUP(TEXT($T$5,"ММММ"),Параметры!A$3:J$14,10,0)</f>
        <v>150.19999999999999</v>
      </c>
    </row>
    <row r="21" spans="1:40" s="10" customFormat="1" ht="30" customHeight="1" x14ac:dyDescent="0.2">
      <c r="A21" s="11">
        <f>Параметры!A39</f>
        <v>1927879</v>
      </c>
      <c r="B21" s="12">
        <f>Параметры!B39</f>
        <v>0</v>
      </c>
      <c r="C21" s="49" t="str">
        <f>Параметры!C39</f>
        <v>Электромонтер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13">
        <f t="shared" si="26"/>
        <v>167</v>
      </c>
      <c r="AJ21" s="13">
        <f t="shared" si="27"/>
        <v>0</v>
      </c>
      <c r="AK21" s="53">
        <f t="shared" si="28"/>
        <v>0</v>
      </c>
      <c r="AL21" s="13">
        <f>SUMPRODUCT((D$7:AH$7=Параметры!F$3:F$21)*TEXT(SUBSTITUTE(D21:AH21,"н",),"0,00;;0;\0"))</f>
        <v>0</v>
      </c>
      <c r="AM21" s="47"/>
      <c r="AN21" s="13">
        <f>VLOOKUP(TEXT($T$5,"ММММ"),Параметры!A$3:J$14,9,0)</f>
        <v>167</v>
      </c>
    </row>
    <row r="22" spans="1:40" s="10" customFormat="1" ht="30" customHeight="1" x14ac:dyDescent="0.2">
      <c r="A22" s="11">
        <f>Параметры!A40</f>
        <v>1912037</v>
      </c>
      <c r="B22" s="12">
        <f>Параметры!B40</f>
        <v>0</v>
      </c>
      <c r="C22" s="49" t="str">
        <f>Параметры!C40</f>
        <v>Электромонтер</v>
      </c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13">
        <f t="shared" si="26"/>
        <v>167</v>
      </c>
      <c r="AJ22" s="13">
        <f t="shared" si="27"/>
        <v>0</v>
      </c>
      <c r="AK22" s="53">
        <f t="shared" si="28"/>
        <v>0</v>
      </c>
      <c r="AL22" s="13">
        <f>SUMPRODUCT((D$7:AH$7=Параметры!F$3:F$21)*TEXT(SUBSTITUTE(D22:AH22,"н",),"0,00;;0;\0"))</f>
        <v>0</v>
      </c>
      <c r="AM22" s="47"/>
      <c r="AN22" s="13">
        <f>VLOOKUP(TEXT($T$5,"ММММ"),Параметры!A$3:J$14,9,0)</f>
        <v>167</v>
      </c>
    </row>
    <row r="23" spans="1:40" s="10" customFormat="1" ht="30" customHeight="1" x14ac:dyDescent="0.2">
      <c r="A23" s="11">
        <f>Параметры!A41</f>
        <v>1913850</v>
      </c>
      <c r="B23" s="12">
        <f>Параметры!B41</f>
        <v>0</v>
      </c>
      <c r="C23" s="49" t="str">
        <f>Параметры!C41</f>
        <v>Телефонист</v>
      </c>
      <c r="D23" s="35">
        <v>11.5</v>
      </c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13">
        <f t="shared" si="26"/>
        <v>138.69999999999999</v>
      </c>
      <c r="AJ23" s="13">
        <f t="shared" si="27"/>
        <v>11.5</v>
      </c>
      <c r="AK23" s="53">
        <f t="shared" si="28"/>
        <v>0</v>
      </c>
      <c r="AL23" s="13">
        <f>SUMPRODUCT((D$7:AH$7=Параметры!F$3:F$21)*TEXT(SUBSTITUTE(D23:AH23,"н",),"0,00;;0;\0"))</f>
        <v>0</v>
      </c>
      <c r="AM23" s="47"/>
      <c r="AN23" s="13">
        <f>VLOOKUP(TEXT($T$5,"ММММ"),Параметры!A$3:J$14,10,0)</f>
        <v>150.19999999999999</v>
      </c>
    </row>
    <row r="24" spans="1:40" s="10" customFormat="1" ht="25.15" customHeight="1" x14ac:dyDescent="0.3">
      <c r="A24" s="210" t="s">
        <v>40</v>
      </c>
      <c r="B24" s="210"/>
      <c r="C24" s="210"/>
      <c r="D24" s="210"/>
      <c r="E24" s="210"/>
      <c r="F24" s="210"/>
      <c r="G24" s="210"/>
      <c r="H24" s="210"/>
      <c r="I24" s="210"/>
      <c r="J24" s="210"/>
      <c r="K24" s="210"/>
      <c r="L24" s="210"/>
      <c r="M24" s="210"/>
      <c r="N24" s="210"/>
      <c r="O24" s="210"/>
      <c r="P24" s="210"/>
      <c r="Q24" s="210"/>
      <c r="R24" s="210"/>
      <c r="S24" s="210"/>
      <c r="T24" s="210"/>
      <c r="U24" s="210"/>
      <c r="V24" s="210"/>
      <c r="W24" s="210"/>
      <c r="X24" s="210"/>
      <c r="Y24" s="210"/>
      <c r="Z24" s="210"/>
      <c r="AA24" s="210"/>
      <c r="AB24" s="210"/>
      <c r="AC24" s="210"/>
      <c r="AD24" s="210"/>
      <c r="AE24" s="210"/>
      <c r="AF24" s="210"/>
      <c r="AG24" s="210"/>
      <c r="AH24" s="210"/>
      <c r="AI24" s="210"/>
      <c r="AJ24" s="210"/>
      <c r="AK24" s="210"/>
      <c r="AL24" s="210"/>
      <c r="AM24" s="210"/>
    </row>
    <row r="25" spans="1:40" s="10" customFormat="1" ht="25.15" customHeight="1" x14ac:dyDescent="0.3">
      <c r="A25" s="1"/>
      <c r="B25" s="2"/>
      <c r="C25" s="51"/>
      <c r="D25" s="3"/>
      <c r="E25" s="3"/>
      <c r="F25" s="3"/>
      <c r="G25" s="7"/>
      <c r="H25" s="7"/>
      <c r="I25" s="7"/>
      <c r="J25" s="7"/>
      <c r="K25" s="23"/>
      <c r="L25" s="23"/>
      <c r="M25" s="207" t="s">
        <v>42</v>
      </c>
      <c r="N25" s="207"/>
      <c r="O25" s="207"/>
      <c r="P25" s="207"/>
      <c r="Q25" s="207"/>
      <c r="R25" s="207"/>
      <c r="S25" s="207"/>
      <c r="T25" s="208">
        <f>DATE(C2,C3+1,1)</f>
        <v>44013</v>
      </c>
      <c r="U25" s="208"/>
      <c r="V25" s="208"/>
      <c r="W25" s="209">
        <v>2020</v>
      </c>
      <c r="X25" s="209"/>
      <c r="Y25" s="23" t="s">
        <v>1</v>
      </c>
      <c r="Z25" s="23"/>
      <c r="AA25" s="23"/>
      <c r="AB25" s="23"/>
      <c r="AC25" s="7"/>
      <c r="AD25" s="7"/>
      <c r="AE25" s="7"/>
      <c r="AF25" s="7"/>
      <c r="AG25" s="7"/>
      <c r="AH25" s="7"/>
      <c r="AI25" s="7"/>
      <c r="AJ25" s="3"/>
      <c r="AK25" s="3"/>
      <c r="AL25" s="3"/>
      <c r="AM25" s="14"/>
    </row>
    <row r="26" spans="1:40" ht="25.15" customHeight="1" x14ac:dyDescent="0.25">
      <c r="B26" s="2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4"/>
    </row>
    <row r="27" spans="1:40" ht="50.1" customHeight="1" x14ac:dyDescent="0.2">
      <c r="A27" s="26" t="s">
        <v>2</v>
      </c>
      <c r="B27" s="25" t="s">
        <v>3</v>
      </c>
      <c r="C27" s="52" t="s">
        <v>49</v>
      </c>
      <c r="D27" s="9">
        <f>T25</f>
        <v>44013</v>
      </c>
      <c r="E27" s="9">
        <f>D27+1</f>
        <v>44014</v>
      </c>
      <c r="F27" s="9">
        <f t="shared" ref="F27" si="29">E27+1</f>
        <v>44015</v>
      </c>
      <c r="G27" s="9">
        <f t="shared" ref="G27" si="30">F27+1</f>
        <v>44016</v>
      </c>
      <c r="H27" s="9">
        <f t="shared" ref="H27" si="31">G27+1</f>
        <v>44017</v>
      </c>
      <c r="I27" s="9">
        <f t="shared" ref="I27" si="32">H27+1</f>
        <v>44018</v>
      </c>
      <c r="J27" s="9">
        <f t="shared" ref="J27" si="33">I27+1</f>
        <v>44019</v>
      </c>
      <c r="K27" s="9">
        <f t="shared" ref="K27" si="34">J27+1</f>
        <v>44020</v>
      </c>
      <c r="L27" s="9">
        <f t="shared" ref="L27" si="35">K27+1</f>
        <v>44021</v>
      </c>
      <c r="M27" s="9">
        <f t="shared" ref="M27" si="36">L27+1</f>
        <v>44022</v>
      </c>
      <c r="N27" s="9">
        <f t="shared" ref="N27" si="37">M27+1</f>
        <v>44023</v>
      </c>
      <c r="O27" s="9">
        <f t="shared" ref="O27" si="38">N27+1</f>
        <v>44024</v>
      </c>
      <c r="P27" s="9">
        <f t="shared" ref="P27" si="39">O27+1</f>
        <v>44025</v>
      </c>
      <c r="Q27" s="9">
        <f t="shared" ref="Q27" si="40">P27+1</f>
        <v>44026</v>
      </c>
      <c r="R27" s="9">
        <f t="shared" ref="R27" si="41">Q27+1</f>
        <v>44027</v>
      </c>
      <c r="S27" s="9">
        <f t="shared" ref="S27" si="42">R27+1</f>
        <v>44028</v>
      </c>
      <c r="T27" s="9">
        <f t="shared" ref="T27" si="43">S27+1</f>
        <v>44029</v>
      </c>
      <c r="U27" s="9">
        <f t="shared" ref="U27" si="44">T27+1</f>
        <v>44030</v>
      </c>
      <c r="V27" s="9">
        <f t="shared" ref="V27" si="45">U27+1</f>
        <v>44031</v>
      </c>
      <c r="W27" s="9">
        <f t="shared" ref="W27" si="46">V27+1</f>
        <v>44032</v>
      </c>
      <c r="X27" s="9">
        <f t="shared" ref="X27" si="47">W27+1</f>
        <v>44033</v>
      </c>
      <c r="Y27" s="9">
        <f t="shared" ref="Y27" si="48">X27+1</f>
        <v>44034</v>
      </c>
      <c r="Z27" s="9">
        <f t="shared" ref="Z27" si="49">Y27+1</f>
        <v>44035</v>
      </c>
      <c r="AA27" s="9">
        <f t="shared" ref="AA27" si="50">Z27+1</f>
        <v>44036</v>
      </c>
      <c r="AB27" s="9">
        <f t="shared" ref="AB27" si="51">AA27+1</f>
        <v>44037</v>
      </c>
      <c r="AC27" s="9">
        <f t="shared" ref="AC27" si="52">AB27+1</f>
        <v>44038</v>
      </c>
      <c r="AD27" s="9">
        <f t="shared" ref="AD27" si="53">AC27+1</f>
        <v>44039</v>
      </c>
      <c r="AE27" s="9">
        <f t="shared" ref="AE27" si="54">AD27+1</f>
        <v>44040</v>
      </c>
      <c r="AF27" s="9">
        <f>IF(MONTH(AE27+1)&lt;&gt;MONTH($D27),"х",AE27+1)</f>
        <v>44041</v>
      </c>
      <c r="AG27" s="9">
        <f>IF(MONTH(AE27+2)&lt;&gt;MONTH($D27),"х",AE27+2)</f>
        <v>44042</v>
      </c>
      <c r="AH27" s="124">
        <f>IF(MONTH(AE27+3)&lt;&gt;MONTH($D27),"х",AE27+3)</f>
        <v>44043</v>
      </c>
      <c r="AI27" s="74" t="s">
        <v>43</v>
      </c>
      <c r="AJ27" s="75" t="s">
        <v>44</v>
      </c>
      <c r="AK27" s="76" t="s">
        <v>45</v>
      </c>
      <c r="AL27" s="76" t="s">
        <v>46</v>
      </c>
      <c r="AM27" s="77" t="s">
        <v>47</v>
      </c>
      <c r="AN27" s="78" t="s">
        <v>48</v>
      </c>
    </row>
    <row r="28" spans="1:40" ht="30" customHeight="1" x14ac:dyDescent="0.2">
      <c r="A28" s="11">
        <f>Параметры!A26</f>
        <v>1902910</v>
      </c>
      <c r="B28" s="28" t="str">
        <f>Параметры!B26</f>
        <v>Петров</v>
      </c>
      <c r="C28" s="48" t="str">
        <f>Параметры!C26</f>
        <v>Начальник участка</v>
      </c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>
        <v>11</v>
      </c>
      <c r="AA28" s="35"/>
      <c r="AB28" s="35"/>
      <c r="AC28" s="35"/>
      <c r="AD28" s="35"/>
      <c r="AE28" s="35"/>
      <c r="AF28" s="35"/>
      <c r="AG28" s="35"/>
      <c r="AH28" s="35"/>
      <c r="AI28" s="36">
        <f t="shared" ref="AI28:AI43" si="55">AN28-AJ28</f>
        <v>173</v>
      </c>
      <c r="AJ28" s="13">
        <f>SUMPRODUCT(--TEXT(SUBSTITUTE(SUBSTITUTE(D28:AH28,"7,5/4",11.5),"н",),"0,00;;\0;\0"))+COUNTIF(D28:AH28,"К")*8+COUNTIF(D28:AH28,"Кп")*7</f>
        <v>11</v>
      </c>
      <c r="AK28" s="53">
        <f>COUNTIF(D28:AH28,"4")*2+COUNTIF(D28:AH28,"7,5")*6+COUNTIF(D28:AH28,"7,5/4")*8</f>
        <v>0</v>
      </c>
      <c r="AL28" s="13">
        <f>SUMPRODUCT((D$27:AH$27=Параметры!F$3:F$21)*TEXT(SUBSTITUTE(D28:AH28,"н",),"0,00;;0;\0"))</f>
        <v>0</v>
      </c>
      <c r="AM28" s="34"/>
      <c r="AN28" s="13">
        <f>VLOOKUP(TEXT($T$25,"ММММ"),Параметры!A$3:J$14,9,0)</f>
        <v>184</v>
      </c>
    </row>
    <row r="29" spans="1:40" ht="30" customHeight="1" x14ac:dyDescent="0.2">
      <c r="A29" s="11">
        <f>Параметры!A27</f>
        <v>1904068</v>
      </c>
      <c r="B29" s="28">
        <f>Параметры!B27</f>
        <v>0</v>
      </c>
      <c r="C29" s="48" t="str">
        <f>Параметры!C27</f>
        <v>Инженер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>
        <v>11</v>
      </c>
      <c r="AA29" s="35"/>
      <c r="AB29" s="35"/>
      <c r="AC29" s="35"/>
      <c r="AD29" s="35"/>
      <c r="AE29" s="35"/>
      <c r="AF29" s="35"/>
      <c r="AG29" s="35"/>
      <c r="AH29" s="35"/>
      <c r="AI29" s="36">
        <f t="shared" si="55"/>
        <v>173</v>
      </c>
      <c r="AJ29" s="13">
        <f t="shared" ref="AJ29:AJ43" si="56">SUMPRODUCT(--TEXT(SUBSTITUTE(SUBSTITUTE(D29:AH29,"7,5/4",11.5),"н",),"0,00;;\0;\0"))+COUNTIF(D29:AH29,"К")*8+COUNTIF(D29:AH29,"Кп")*7</f>
        <v>11</v>
      </c>
      <c r="AK29" s="53">
        <f t="shared" ref="AK29:AK43" si="57">COUNTIF(D29:AH29,"4")*2+COUNTIF(D29:AH29,"7,5")*6+COUNTIF(D29:AH29,"7,5/4")*8</f>
        <v>0</v>
      </c>
      <c r="AL29" s="13">
        <f>SUMPRODUCT((D$27:AH$27=Параметры!F$3:F$21)*TEXT(SUBSTITUTE(D29:AH29,"н",),"0,00;;0;\0"))</f>
        <v>0</v>
      </c>
      <c r="AM29" s="34"/>
      <c r="AN29" s="13">
        <f>VLOOKUP(TEXT($T$25,"ММММ"),Параметры!A$3:J$14,9,0)</f>
        <v>184</v>
      </c>
    </row>
    <row r="30" spans="1:40" ht="30" customHeight="1" x14ac:dyDescent="0.2">
      <c r="A30" s="11">
        <f>Параметры!A28</f>
        <v>1915436</v>
      </c>
      <c r="B30" s="28">
        <f>Параметры!B28</f>
        <v>0</v>
      </c>
      <c r="C30" s="48" t="str">
        <f>Параметры!C28</f>
        <v>Электромеханик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>
        <v>11</v>
      </c>
      <c r="AA30" s="35"/>
      <c r="AB30" s="35"/>
      <c r="AC30" s="35"/>
      <c r="AD30" s="35"/>
      <c r="AE30" s="35"/>
      <c r="AF30" s="35"/>
      <c r="AG30" s="35"/>
      <c r="AH30" s="35"/>
      <c r="AI30" s="36">
        <f t="shared" si="55"/>
        <v>173</v>
      </c>
      <c r="AJ30" s="13">
        <f t="shared" si="56"/>
        <v>11</v>
      </c>
      <c r="AK30" s="53">
        <f t="shared" si="57"/>
        <v>0</v>
      </c>
      <c r="AL30" s="13">
        <f>SUMPRODUCT((D$27:AH$27=Параметры!F$3:F$21)*TEXT(SUBSTITUTE(D30:AH30,"н",),"0,00;;0;\0"))</f>
        <v>0</v>
      </c>
      <c r="AM30" s="34"/>
      <c r="AN30" s="13">
        <f>VLOOKUP(TEXT($T$25,"ММММ"),Параметры!A$3:J$14,9,0)</f>
        <v>184</v>
      </c>
    </row>
    <row r="31" spans="1:40" ht="30" customHeight="1" x14ac:dyDescent="0.2">
      <c r="A31" s="11">
        <f>Параметры!A29</f>
        <v>1912045</v>
      </c>
      <c r="B31" s="28">
        <f>Параметры!B29</f>
        <v>0</v>
      </c>
      <c r="C31" s="48" t="str">
        <f>Параметры!C29</f>
        <v>Электромеханик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>
        <v>11</v>
      </c>
      <c r="AA31" s="35"/>
      <c r="AB31" s="35"/>
      <c r="AC31" s="35"/>
      <c r="AD31" s="35"/>
      <c r="AE31" s="35"/>
      <c r="AF31" s="35"/>
      <c r="AG31" s="35"/>
      <c r="AH31" s="35"/>
      <c r="AI31" s="36">
        <f t="shared" si="55"/>
        <v>154.6</v>
      </c>
      <c r="AJ31" s="13">
        <f t="shared" si="56"/>
        <v>11</v>
      </c>
      <c r="AK31" s="53">
        <f t="shared" si="57"/>
        <v>0</v>
      </c>
      <c r="AL31" s="13">
        <f>SUMPRODUCT((D$27:AH$27=Параметры!F$3:F$21)*TEXT(SUBSTITUTE(D31:AH31,"н",),"0,00;;0;\0"))</f>
        <v>0</v>
      </c>
      <c r="AM31" s="34"/>
      <c r="AN31" s="13">
        <f>VLOOKUP(TEXT($T$25,"ММММ"),Параметры!A$3:J$14,10,0)</f>
        <v>165.6</v>
      </c>
    </row>
    <row r="32" spans="1:40" ht="30" customHeight="1" x14ac:dyDescent="0.2">
      <c r="A32" s="11">
        <f>Параметры!A30</f>
        <v>1912103</v>
      </c>
      <c r="B32" s="28">
        <f>Параметры!B30</f>
        <v>0</v>
      </c>
      <c r="C32" s="48" t="str">
        <f>Параметры!C30</f>
        <v>Электромеханик</v>
      </c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>
        <v>11</v>
      </c>
      <c r="AA32" s="35"/>
      <c r="AB32" s="35"/>
      <c r="AC32" s="35"/>
      <c r="AD32" s="35"/>
      <c r="AE32" s="35"/>
      <c r="AF32" s="35"/>
      <c r="AG32" s="35"/>
      <c r="AH32" s="35"/>
      <c r="AI32" s="36">
        <f t="shared" si="55"/>
        <v>173</v>
      </c>
      <c r="AJ32" s="13">
        <f t="shared" si="56"/>
        <v>11</v>
      </c>
      <c r="AK32" s="53">
        <f t="shared" si="57"/>
        <v>0</v>
      </c>
      <c r="AL32" s="13">
        <f>SUMPRODUCT((D$27:AH$27=Параметры!F$3:F$21)*TEXT(SUBSTITUTE(D32:AH32,"н",),"0,00;;0;\0"))</f>
        <v>0</v>
      </c>
      <c r="AM32" s="34"/>
      <c r="AN32" s="13">
        <f>VLOOKUP(TEXT($T$25,"ММММ"),Параметры!A$3:J$14,9,0)</f>
        <v>184</v>
      </c>
    </row>
    <row r="33" spans="1:40" ht="30" customHeight="1" x14ac:dyDescent="0.2">
      <c r="A33" s="11">
        <f>Параметры!A31</f>
        <v>1912622</v>
      </c>
      <c r="B33" s="28">
        <f>Параметры!B31</f>
        <v>0</v>
      </c>
      <c r="C33" s="48" t="str">
        <f>Параметры!C31</f>
        <v>Электромонтер</v>
      </c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>
        <v>11</v>
      </c>
      <c r="AA33" s="35"/>
      <c r="AB33" s="35"/>
      <c r="AC33" s="35"/>
      <c r="AD33" s="35"/>
      <c r="AE33" s="35"/>
      <c r="AF33" s="35"/>
      <c r="AG33" s="35"/>
      <c r="AH33" s="35"/>
      <c r="AI33" s="36">
        <f t="shared" si="55"/>
        <v>173</v>
      </c>
      <c r="AJ33" s="13">
        <f t="shared" si="56"/>
        <v>11</v>
      </c>
      <c r="AK33" s="53">
        <f t="shared" si="57"/>
        <v>0</v>
      </c>
      <c r="AL33" s="13">
        <f>SUMPRODUCT((D$27:AH$27=Параметры!F$3:F$21)*TEXT(SUBSTITUTE(D33:AH33,"н",),"0,00;;0;\0"))</f>
        <v>0</v>
      </c>
      <c r="AM33" s="34"/>
      <c r="AN33" s="13">
        <f>VLOOKUP(TEXT($T$25,"ММММ"),Параметры!A$3:J$14,9,0)</f>
        <v>184</v>
      </c>
    </row>
    <row r="34" spans="1:40" ht="30" customHeight="1" x14ac:dyDescent="0.2">
      <c r="A34" s="11">
        <f>Параметры!A32</f>
        <v>1912114</v>
      </c>
      <c r="B34" s="28">
        <f>Параметры!B32</f>
        <v>0</v>
      </c>
      <c r="C34" s="48" t="str">
        <f>Параметры!C32</f>
        <v>Электромонтер</v>
      </c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>
        <v>11</v>
      </c>
      <c r="AA34" s="35"/>
      <c r="AB34" s="35"/>
      <c r="AC34" s="35"/>
      <c r="AD34" s="35"/>
      <c r="AE34" s="35"/>
      <c r="AF34" s="35"/>
      <c r="AG34" s="35"/>
      <c r="AH34" s="35"/>
      <c r="AI34" s="36">
        <f t="shared" si="55"/>
        <v>173</v>
      </c>
      <c r="AJ34" s="13">
        <f t="shared" si="56"/>
        <v>11</v>
      </c>
      <c r="AK34" s="53">
        <f t="shared" si="57"/>
        <v>0</v>
      </c>
      <c r="AL34" s="13">
        <f>SUMPRODUCT((D$27:AH$27=Параметры!F$3:F$21)*TEXT(SUBSTITUTE(D34:AH34,"н",),"0,00;;0;\0"))</f>
        <v>0</v>
      </c>
      <c r="AM34" s="34"/>
      <c r="AN34" s="13">
        <f>VLOOKUP(TEXT($T$25,"ММММ"),Параметры!A$3:J$14,9,0)</f>
        <v>184</v>
      </c>
    </row>
    <row r="35" spans="1:40" ht="30" customHeight="1" x14ac:dyDescent="0.2">
      <c r="A35" s="11">
        <f>Параметры!A33</f>
        <v>1925206</v>
      </c>
      <c r="B35" s="28">
        <f>Параметры!B33</f>
        <v>0</v>
      </c>
      <c r="C35" s="48" t="str">
        <f>Параметры!C33</f>
        <v>Телефонист</v>
      </c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>
        <v>11</v>
      </c>
      <c r="AA35" s="35"/>
      <c r="AB35" s="35"/>
      <c r="AC35" s="35"/>
      <c r="AD35" s="35"/>
      <c r="AE35" s="35"/>
      <c r="AF35" s="35"/>
      <c r="AG35" s="35"/>
      <c r="AH35" s="35"/>
      <c r="AI35" s="36">
        <f t="shared" si="55"/>
        <v>154.6</v>
      </c>
      <c r="AJ35" s="13">
        <f t="shared" si="56"/>
        <v>11</v>
      </c>
      <c r="AK35" s="53">
        <f t="shared" si="57"/>
        <v>0</v>
      </c>
      <c r="AL35" s="13">
        <f>SUMPRODUCT((D$27:AH$27=Параметры!F$3:F$21)*TEXT(SUBSTITUTE(D35:AH35,"н",),"0,00;;0;\0"))</f>
        <v>0</v>
      </c>
      <c r="AM35" s="34"/>
      <c r="AN35" s="13">
        <f>VLOOKUP(TEXT($T$25,"ММММ"),Параметры!A$3:J$14,10,0)</f>
        <v>165.6</v>
      </c>
    </row>
    <row r="36" spans="1:40" ht="30" customHeight="1" x14ac:dyDescent="0.2">
      <c r="A36" s="11">
        <f>Параметры!A34</f>
        <v>1904059</v>
      </c>
      <c r="B36" s="28">
        <f>Параметры!B34</f>
        <v>0</v>
      </c>
      <c r="C36" s="48" t="str">
        <f>Параметры!C34</f>
        <v>Инженер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>
        <v>11</v>
      </c>
      <c r="AA36" s="35"/>
      <c r="AB36" s="35"/>
      <c r="AC36" s="35"/>
      <c r="AD36" s="35"/>
      <c r="AE36" s="35"/>
      <c r="AF36" s="35"/>
      <c r="AG36" s="35"/>
      <c r="AH36" s="35"/>
      <c r="AI36" s="36">
        <f t="shared" si="55"/>
        <v>173</v>
      </c>
      <c r="AJ36" s="13">
        <f t="shared" si="56"/>
        <v>11</v>
      </c>
      <c r="AK36" s="53">
        <f t="shared" si="57"/>
        <v>0</v>
      </c>
      <c r="AL36" s="13">
        <f>SUMPRODUCT((D$27:AH$27=Параметры!F$3:F$21)*TEXT(SUBSTITUTE(D36:AH36,"н",),"0,00;;0;\0"))</f>
        <v>0</v>
      </c>
      <c r="AM36" s="34"/>
      <c r="AN36" s="13">
        <f>VLOOKUP(TEXT($T$25,"ММММ"),Параметры!A$3:J$14,9,0)</f>
        <v>184</v>
      </c>
    </row>
    <row r="37" spans="1:40" ht="30" customHeight="1" x14ac:dyDescent="0.2">
      <c r="A37" s="11">
        <f>Параметры!A35</f>
        <v>1912510</v>
      </c>
      <c r="B37" s="28">
        <f>Параметры!B35</f>
        <v>0</v>
      </c>
      <c r="C37" s="48" t="str">
        <f>Параметры!C35</f>
        <v>Электромеханик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>
        <v>11</v>
      </c>
      <c r="AA37" s="35"/>
      <c r="AB37" s="35"/>
      <c r="AC37" s="35"/>
      <c r="AD37" s="35"/>
      <c r="AE37" s="35"/>
      <c r="AF37" s="35"/>
      <c r="AG37" s="35"/>
      <c r="AH37" s="35"/>
      <c r="AI37" s="36">
        <f t="shared" si="55"/>
        <v>154.6</v>
      </c>
      <c r="AJ37" s="13">
        <f t="shared" si="56"/>
        <v>11</v>
      </c>
      <c r="AK37" s="53">
        <f t="shared" si="57"/>
        <v>0</v>
      </c>
      <c r="AL37" s="13">
        <f>SUMPRODUCT((D$27:AH$27=Параметры!F$3:F$21)*TEXT(SUBSTITUTE(D37:AH37,"н",),"0,00;;0;\0"))</f>
        <v>0</v>
      </c>
      <c r="AM37" s="34"/>
      <c r="AN37" s="13">
        <f>VLOOKUP(TEXT($T$25,"ММММ"),Параметры!A$3:J$14,10,0)</f>
        <v>165.6</v>
      </c>
    </row>
    <row r="38" spans="1:40" ht="30" customHeight="1" x14ac:dyDescent="0.2">
      <c r="A38" s="11">
        <f>Параметры!A36</f>
        <v>1912130</v>
      </c>
      <c r="B38" s="28">
        <f>Параметры!B36</f>
        <v>0</v>
      </c>
      <c r="C38" s="48" t="str">
        <f>Параметры!C36</f>
        <v>Электромеханик</v>
      </c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>
        <v>11</v>
      </c>
      <c r="AA38" s="35"/>
      <c r="AB38" s="35"/>
      <c r="AC38" s="35"/>
      <c r="AD38" s="35"/>
      <c r="AE38" s="35"/>
      <c r="AF38" s="35"/>
      <c r="AG38" s="35"/>
      <c r="AH38" s="35"/>
      <c r="AI38" s="36">
        <f t="shared" si="55"/>
        <v>173</v>
      </c>
      <c r="AJ38" s="13">
        <f t="shared" si="56"/>
        <v>11</v>
      </c>
      <c r="AK38" s="53">
        <f t="shared" si="57"/>
        <v>0</v>
      </c>
      <c r="AL38" s="13">
        <f>SUMPRODUCT((D$27:AH$27=Параметры!F$3:F$21)*TEXT(SUBSTITUTE(D38:AH38,"н",),"0,00;;0;\0"))</f>
        <v>0</v>
      </c>
      <c r="AM38" s="34"/>
      <c r="AN38" s="13">
        <f>VLOOKUP(TEXT($T$25,"ММММ"),Параметры!A$3:J$14,9,0)</f>
        <v>184</v>
      </c>
    </row>
    <row r="39" spans="1:40" ht="30" customHeight="1" x14ac:dyDescent="0.2">
      <c r="A39" s="11">
        <f>Параметры!A37</f>
        <v>1915704</v>
      </c>
      <c r="B39" s="28">
        <f>Параметры!B37</f>
        <v>0</v>
      </c>
      <c r="C39" s="48" t="str">
        <f>Параметры!C37</f>
        <v>Электромеханик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>
        <v>11</v>
      </c>
      <c r="AA39" s="35"/>
      <c r="AB39" s="35"/>
      <c r="AC39" s="35"/>
      <c r="AD39" s="35"/>
      <c r="AE39" s="35"/>
      <c r="AF39" s="35"/>
      <c r="AG39" s="35"/>
      <c r="AH39" s="35"/>
      <c r="AI39" s="36">
        <f t="shared" si="55"/>
        <v>173</v>
      </c>
      <c r="AJ39" s="13">
        <f t="shared" si="56"/>
        <v>11</v>
      </c>
      <c r="AK39" s="53">
        <f t="shared" si="57"/>
        <v>0</v>
      </c>
      <c r="AL39" s="13">
        <f>SUMPRODUCT((D$27:AH$27=Параметры!F$3:F$21)*TEXT(SUBSTITUTE(D39:AH39,"н",),"0,00;;0;\0"))</f>
        <v>0</v>
      </c>
      <c r="AM39" s="34"/>
      <c r="AN39" s="13">
        <f>VLOOKUP(TEXT($T$25,"ММММ"),Параметры!A$3:J$14,9,0)</f>
        <v>184</v>
      </c>
    </row>
    <row r="40" spans="1:40" ht="30" customHeight="1" x14ac:dyDescent="0.2">
      <c r="A40" s="11">
        <f>Параметры!A38</f>
        <v>1912044</v>
      </c>
      <c r="B40" s="28">
        <f>Параметры!B38</f>
        <v>0</v>
      </c>
      <c r="C40" s="48" t="str">
        <f>Параметры!C38</f>
        <v>Электромонтер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>
        <v>11</v>
      </c>
      <c r="AA40" s="35"/>
      <c r="AB40" s="35"/>
      <c r="AC40" s="35"/>
      <c r="AD40" s="35"/>
      <c r="AE40" s="35"/>
      <c r="AF40" s="35"/>
      <c r="AG40" s="35"/>
      <c r="AH40" s="35"/>
      <c r="AI40" s="36">
        <f t="shared" si="55"/>
        <v>154.6</v>
      </c>
      <c r="AJ40" s="13">
        <f t="shared" si="56"/>
        <v>11</v>
      </c>
      <c r="AK40" s="53">
        <f t="shared" si="57"/>
        <v>0</v>
      </c>
      <c r="AL40" s="13">
        <f>SUMPRODUCT((D$27:AH$27=Параметры!F$3:F$21)*TEXT(SUBSTITUTE(D40:AH40,"н",),"0,00;;0;\0"))</f>
        <v>0</v>
      </c>
      <c r="AM40" s="34"/>
      <c r="AN40" s="13">
        <f>VLOOKUP(TEXT($T$25,"ММММ"),Параметры!A$3:J$14,10,0)</f>
        <v>165.6</v>
      </c>
    </row>
    <row r="41" spans="1:40" ht="30" customHeight="1" x14ac:dyDescent="0.2">
      <c r="A41" s="11">
        <f>Параметры!A39</f>
        <v>1927879</v>
      </c>
      <c r="B41" s="28">
        <f>Параметры!B39</f>
        <v>0</v>
      </c>
      <c r="C41" s="48" t="str">
        <f>Параметры!C39</f>
        <v>Электромонтер</v>
      </c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>
        <v>4</v>
      </c>
      <c r="Y41" s="35"/>
      <c r="Z41" s="35">
        <v>11</v>
      </c>
      <c r="AA41" s="35"/>
      <c r="AB41" s="35"/>
      <c r="AC41" s="35"/>
      <c r="AD41" s="35"/>
      <c r="AE41" s="35"/>
      <c r="AF41" s="35"/>
      <c r="AG41" s="35"/>
      <c r="AH41" s="35"/>
      <c r="AI41" s="36">
        <f t="shared" si="55"/>
        <v>169</v>
      </c>
      <c r="AJ41" s="13">
        <f t="shared" si="56"/>
        <v>15</v>
      </c>
      <c r="AK41" s="53">
        <f t="shared" si="57"/>
        <v>2</v>
      </c>
      <c r="AL41" s="13">
        <f>SUMPRODUCT((D$27:AH$27=Параметры!F$3:F$21)*TEXT(SUBSTITUTE(D41:AH41,"н",),"0,00;;0;\0"))</f>
        <v>0</v>
      </c>
      <c r="AM41" s="34"/>
      <c r="AN41" s="13">
        <f>VLOOKUP(TEXT($T$25,"ММММ"),Параметры!A$3:J$14,9,0)</f>
        <v>184</v>
      </c>
    </row>
    <row r="42" spans="1:40" ht="30" customHeight="1" x14ac:dyDescent="0.2">
      <c r="A42" s="11">
        <f>Параметры!A40</f>
        <v>1912037</v>
      </c>
      <c r="B42" s="28">
        <f>Параметры!B40</f>
        <v>0</v>
      </c>
      <c r="C42" s="48" t="str">
        <f>Параметры!C40</f>
        <v>Электромонтер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>
        <v>11</v>
      </c>
      <c r="AA42" s="35"/>
      <c r="AB42" s="35"/>
      <c r="AC42" s="35"/>
      <c r="AD42" s="35"/>
      <c r="AE42" s="35"/>
      <c r="AF42" s="35"/>
      <c r="AG42" s="35"/>
      <c r="AH42" s="35"/>
      <c r="AI42" s="36">
        <f t="shared" si="55"/>
        <v>173</v>
      </c>
      <c r="AJ42" s="13">
        <f t="shared" si="56"/>
        <v>11</v>
      </c>
      <c r="AK42" s="53">
        <f t="shared" si="57"/>
        <v>0</v>
      </c>
      <c r="AL42" s="13">
        <f>SUMPRODUCT((D$27:AH$27=Параметры!F$3:F$21)*TEXT(SUBSTITUTE(D42:AH42,"н",),"0,00;;0;\0"))</f>
        <v>0</v>
      </c>
      <c r="AM42" s="34"/>
      <c r="AN42" s="13">
        <f>VLOOKUP(TEXT($T$25,"ММММ"),Параметры!A$3:J$14,9,0)</f>
        <v>184</v>
      </c>
    </row>
    <row r="43" spans="1:40" ht="30" customHeight="1" x14ac:dyDescent="0.2">
      <c r="A43" s="11">
        <f>Параметры!A41</f>
        <v>1913850</v>
      </c>
      <c r="B43" s="28">
        <f>Параметры!B41</f>
        <v>0</v>
      </c>
      <c r="C43" s="48" t="str">
        <f>Параметры!C41</f>
        <v>Телефонист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>
        <v>11</v>
      </c>
      <c r="AA43" s="35"/>
      <c r="AB43" s="35"/>
      <c r="AC43" s="35"/>
      <c r="AD43" s="35"/>
      <c r="AE43" s="35"/>
      <c r="AF43" s="35"/>
      <c r="AG43" s="35"/>
      <c r="AH43" s="35"/>
      <c r="AI43" s="36">
        <f t="shared" si="55"/>
        <v>154.6</v>
      </c>
      <c r="AJ43" s="13">
        <f t="shared" si="56"/>
        <v>11</v>
      </c>
      <c r="AK43" s="53">
        <f t="shared" si="57"/>
        <v>0</v>
      </c>
      <c r="AL43" s="13">
        <f>SUMPRODUCT((D$27:AH$27=Параметры!F$3:F$21)*TEXT(SUBSTITUTE(D43:AH43,"н",),"0,00;;0;\0"))</f>
        <v>0</v>
      </c>
      <c r="AM43" s="34"/>
      <c r="AN43" s="13">
        <f>VLOOKUP(TEXT($T$25,"ММММ"),Параметры!A$3:J$14,10,0)</f>
        <v>165.6</v>
      </c>
    </row>
    <row r="44" spans="1:40" s="10" customFormat="1" ht="25.15" customHeight="1" x14ac:dyDescent="0.3">
      <c r="A44" s="210" t="s">
        <v>40</v>
      </c>
      <c r="B44" s="210"/>
      <c r="C44" s="210"/>
      <c r="D44" s="210"/>
      <c r="E44" s="210"/>
      <c r="F44" s="210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</row>
    <row r="45" spans="1:40" s="10" customFormat="1" ht="25.15" customHeight="1" x14ac:dyDescent="0.3">
      <c r="A45" s="20"/>
      <c r="B45" s="21"/>
      <c r="C45" s="51"/>
      <c r="D45" s="22"/>
      <c r="E45" s="22"/>
      <c r="F45" s="22"/>
      <c r="G45" s="23"/>
      <c r="H45" s="23"/>
      <c r="I45" s="23"/>
      <c r="J45" s="23"/>
      <c r="K45" s="23"/>
      <c r="L45" s="23"/>
      <c r="M45" s="207" t="s">
        <v>42</v>
      </c>
      <c r="N45" s="207"/>
      <c r="O45" s="207"/>
      <c r="P45" s="207"/>
      <c r="Q45" s="207"/>
      <c r="R45" s="207"/>
      <c r="S45" s="207"/>
      <c r="T45" s="208">
        <f>DATE(C2,C3+2,1)</f>
        <v>44044</v>
      </c>
      <c r="U45" s="208"/>
      <c r="V45" s="208"/>
      <c r="W45" s="209">
        <v>2020</v>
      </c>
      <c r="X45" s="209"/>
      <c r="Y45" s="23" t="s">
        <v>1</v>
      </c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2"/>
      <c r="AK45" s="22"/>
      <c r="AL45" s="22"/>
      <c r="AM45" s="24"/>
    </row>
    <row r="46" spans="1:40" ht="24.6" customHeight="1" x14ac:dyDescent="0.25">
      <c r="B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4"/>
    </row>
    <row r="47" spans="1:40" ht="50.1" customHeight="1" x14ac:dyDescent="0.2">
      <c r="A47" s="26" t="s">
        <v>2</v>
      </c>
      <c r="B47" s="25" t="s">
        <v>3</v>
      </c>
      <c r="C47" s="52" t="s">
        <v>49</v>
      </c>
      <c r="D47" s="9">
        <f>T45</f>
        <v>44044</v>
      </c>
      <c r="E47" s="9">
        <f>D47+1</f>
        <v>44045</v>
      </c>
      <c r="F47" s="9">
        <f t="shared" ref="F47" si="58">E47+1</f>
        <v>44046</v>
      </c>
      <c r="G47" s="9">
        <f t="shared" ref="G47" si="59">F47+1</f>
        <v>44047</v>
      </c>
      <c r="H47" s="9">
        <f t="shared" ref="H47" si="60">G47+1</f>
        <v>44048</v>
      </c>
      <c r="I47" s="9">
        <f t="shared" ref="I47" si="61">H47+1</f>
        <v>44049</v>
      </c>
      <c r="J47" s="9">
        <f t="shared" ref="J47" si="62">I47+1</f>
        <v>44050</v>
      </c>
      <c r="K47" s="9">
        <f t="shared" ref="K47" si="63">J47+1</f>
        <v>44051</v>
      </c>
      <c r="L47" s="9">
        <f t="shared" ref="L47" si="64">K47+1</f>
        <v>44052</v>
      </c>
      <c r="M47" s="9">
        <f t="shared" ref="M47" si="65">L47+1</f>
        <v>44053</v>
      </c>
      <c r="N47" s="9">
        <f t="shared" ref="N47" si="66">M47+1</f>
        <v>44054</v>
      </c>
      <c r="O47" s="9">
        <f t="shared" ref="O47" si="67">N47+1</f>
        <v>44055</v>
      </c>
      <c r="P47" s="9">
        <f t="shared" ref="P47" si="68">O47+1</f>
        <v>44056</v>
      </c>
      <c r="Q47" s="9">
        <f t="shared" ref="Q47" si="69">P47+1</f>
        <v>44057</v>
      </c>
      <c r="R47" s="9">
        <f t="shared" ref="R47" si="70">Q47+1</f>
        <v>44058</v>
      </c>
      <c r="S47" s="9">
        <f t="shared" ref="S47" si="71">R47+1</f>
        <v>44059</v>
      </c>
      <c r="T47" s="9">
        <f t="shared" ref="T47" si="72">S47+1</f>
        <v>44060</v>
      </c>
      <c r="U47" s="9">
        <f t="shared" ref="U47" si="73">T47+1</f>
        <v>44061</v>
      </c>
      <c r="V47" s="9">
        <f t="shared" ref="V47" si="74">U47+1</f>
        <v>44062</v>
      </c>
      <c r="W47" s="9">
        <f t="shared" ref="W47" si="75">V47+1</f>
        <v>44063</v>
      </c>
      <c r="X47" s="9">
        <f t="shared" ref="X47" si="76">W47+1</f>
        <v>44064</v>
      </c>
      <c r="Y47" s="9">
        <f t="shared" ref="Y47" si="77">X47+1</f>
        <v>44065</v>
      </c>
      <c r="Z47" s="9">
        <f t="shared" ref="Z47" si="78">Y47+1</f>
        <v>44066</v>
      </c>
      <c r="AA47" s="9">
        <f t="shared" ref="AA47" si="79">Z47+1</f>
        <v>44067</v>
      </c>
      <c r="AB47" s="9">
        <f t="shared" ref="AB47" si="80">AA47+1</f>
        <v>44068</v>
      </c>
      <c r="AC47" s="9">
        <f t="shared" ref="AC47" si="81">AB47+1</f>
        <v>44069</v>
      </c>
      <c r="AD47" s="9">
        <f t="shared" ref="AD47" si="82">AC47+1</f>
        <v>44070</v>
      </c>
      <c r="AE47" s="9">
        <f t="shared" ref="AE47" si="83">AD47+1</f>
        <v>44071</v>
      </c>
      <c r="AF47" s="9">
        <f>IF(MONTH(AE47+1)&lt;&gt;MONTH($D47),"х",AE47+1)</f>
        <v>44072</v>
      </c>
      <c r="AG47" s="9">
        <f>IF(MONTH(AE47+2)&lt;&gt;MONTH($D47),"х",AE47+2)</f>
        <v>44073</v>
      </c>
      <c r="AH47" s="124">
        <f>IF(MONTH(AE47+3)&lt;&gt;MONTH($D47),"х",AE47+3)</f>
        <v>44074</v>
      </c>
      <c r="AI47" s="74" t="s">
        <v>43</v>
      </c>
      <c r="AJ47" s="75" t="s">
        <v>44</v>
      </c>
      <c r="AK47" s="76" t="s">
        <v>45</v>
      </c>
      <c r="AL47" s="76" t="s">
        <v>46</v>
      </c>
      <c r="AM47" s="77" t="s">
        <v>47</v>
      </c>
      <c r="AN47" s="78" t="s">
        <v>48</v>
      </c>
    </row>
    <row r="48" spans="1:40" ht="30" customHeight="1" x14ac:dyDescent="0.2">
      <c r="A48" s="11">
        <f>Параметры!A26</f>
        <v>1902910</v>
      </c>
      <c r="B48" s="29" t="str">
        <f>Параметры!B26</f>
        <v>Петров</v>
      </c>
      <c r="C48" s="48" t="str">
        <f>Параметры!C26</f>
        <v>Начальник участка</v>
      </c>
      <c r="D48" s="201"/>
      <c r="E48" s="201"/>
      <c r="F48" s="201"/>
      <c r="G48" s="201"/>
      <c r="H48" s="201"/>
      <c r="I48" s="201"/>
      <c r="J48" s="201"/>
      <c r="K48" s="201">
        <v>11</v>
      </c>
      <c r="L48" s="201"/>
      <c r="M48" s="201"/>
      <c r="N48" s="201"/>
      <c r="O48" s="201"/>
      <c r="P48" s="201"/>
      <c r="Q48" s="201"/>
      <c r="R48" s="201"/>
      <c r="S48" s="201"/>
      <c r="T48" s="201"/>
      <c r="U48" s="201"/>
      <c r="V48" s="201"/>
      <c r="W48" s="201"/>
      <c r="X48" s="201"/>
      <c r="Y48" s="201"/>
      <c r="Z48" s="201"/>
      <c r="AA48" s="201"/>
      <c r="AB48" s="201"/>
      <c r="AC48" s="201"/>
      <c r="AD48" s="201"/>
      <c r="AE48" s="201"/>
      <c r="AF48" s="201"/>
      <c r="AG48" s="201"/>
      <c r="AH48" s="201"/>
      <c r="AI48" s="36">
        <f t="shared" ref="AI48:AI63" si="84">AN48-AJ48</f>
        <v>157</v>
      </c>
      <c r="AJ48" s="13">
        <f t="shared" ref="AJ48:AJ63" si="85">SUMPRODUCT(--TEXT(SUBSTITUTE(SUBSTITUTE(D48:AH48,"7,5/4",11.5),"н",),"0,00;;\0;\0"))+COUNTIF(D48:AH48,"К")*8+COUNTIF(D48:AH48,"Кп")*7</f>
        <v>11</v>
      </c>
      <c r="AK48" s="53">
        <f>COUNTIF(D48:AH48,"4")*2+COUNTIF(D48:AH48,"7,5")*6+COUNTIF(D48:AH48,"7,5/4")*8</f>
        <v>0</v>
      </c>
      <c r="AL48" s="27">
        <f>SUMPRODUCT((D$47:AH$47=Параметры!F$3:F$21)*TEXT(SUBSTITUTE(D48:AH48,"н",),"0,00;;0;\0"))</f>
        <v>0</v>
      </c>
      <c r="AM48" s="34"/>
      <c r="AN48" s="27">
        <f>VLOOKUP(TEXT($T$45,"ММММ"),Параметры!A$3:J$14,9,0)</f>
        <v>168</v>
      </c>
    </row>
    <row r="49" spans="1:40" ht="30" customHeight="1" x14ac:dyDescent="0.2">
      <c r="A49" s="11">
        <f>Параметры!A27</f>
        <v>1904068</v>
      </c>
      <c r="B49" s="29">
        <f>Параметры!B27</f>
        <v>0</v>
      </c>
      <c r="C49" s="48" t="str">
        <f>Параметры!C27</f>
        <v>Инженер</v>
      </c>
      <c r="D49" s="201"/>
      <c r="E49" s="201"/>
      <c r="F49" s="201"/>
      <c r="G49" s="201"/>
      <c r="H49" s="201"/>
      <c r="I49" s="201"/>
      <c r="J49" s="201"/>
      <c r="K49" s="201">
        <v>11</v>
      </c>
      <c r="L49" s="201"/>
      <c r="M49" s="201"/>
      <c r="N49" s="201"/>
      <c r="O49" s="201"/>
      <c r="P49" s="201"/>
      <c r="Q49" s="201"/>
      <c r="R49" s="201"/>
      <c r="S49" s="201"/>
      <c r="T49" s="201"/>
      <c r="U49" s="201"/>
      <c r="V49" s="201"/>
      <c r="W49" s="201"/>
      <c r="X49" s="201"/>
      <c r="Y49" s="201"/>
      <c r="Z49" s="201"/>
      <c r="AA49" s="201"/>
      <c r="AB49" s="201"/>
      <c r="AC49" s="201"/>
      <c r="AD49" s="201"/>
      <c r="AE49" s="201"/>
      <c r="AF49" s="201"/>
      <c r="AG49" s="201"/>
      <c r="AH49" s="201"/>
      <c r="AI49" s="36">
        <f t="shared" si="84"/>
        <v>157</v>
      </c>
      <c r="AJ49" s="13">
        <f t="shared" si="85"/>
        <v>11</v>
      </c>
      <c r="AK49" s="53">
        <f t="shared" ref="AK49:AK63" si="86">COUNTIF(D49:AH49,"4")*2+COUNTIF(D49:AH49,"7,5")*6+COUNTIF(D49:AH49,"7,5/4")*8</f>
        <v>0</v>
      </c>
      <c r="AL49" s="27">
        <f>SUMPRODUCT((D$47:AH$47=Параметры!F$3:F$21)*TEXT(SUBSTITUTE(D49:AH49,"н",),"0,00;;0;\0"))</f>
        <v>0</v>
      </c>
      <c r="AM49" s="34"/>
      <c r="AN49" s="27">
        <f>VLOOKUP(TEXT($T$45,"ММММ"),Параметры!A$3:J$14,9,0)</f>
        <v>168</v>
      </c>
    </row>
    <row r="50" spans="1:40" ht="30" customHeight="1" x14ac:dyDescent="0.2">
      <c r="A50" s="11">
        <f>Параметры!A28</f>
        <v>1915436</v>
      </c>
      <c r="B50" s="29">
        <f>Параметры!B28</f>
        <v>0</v>
      </c>
      <c r="C50" s="48" t="str">
        <f>Параметры!C28</f>
        <v>Электромеханик</v>
      </c>
      <c r="D50" s="201"/>
      <c r="E50" s="201"/>
      <c r="F50" s="201"/>
      <c r="G50" s="201"/>
      <c r="H50" s="201"/>
      <c r="I50" s="201"/>
      <c r="J50" s="201"/>
      <c r="K50" s="201">
        <v>11</v>
      </c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36">
        <f t="shared" si="84"/>
        <v>157</v>
      </c>
      <c r="AJ50" s="13">
        <f t="shared" si="85"/>
        <v>11</v>
      </c>
      <c r="AK50" s="53">
        <f t="shared" si="86"/>
        <v>0</v>
      </c>
      <c r="AL50" s="27">
        <f>SUMPRODUCT((D$47:AH$47=Параметры!F$3:F$21)*TEXT(SUBSTITUTE(D50:AH50,"н",),"0,00;;0;\0"))</f>
        <v>0</v>
      </c>
      <c r="AM50" s="34"/>
      <c r="AN50" s="27">
        <f>VLOOKUP(TEXT($T$45,"ММММ"),Параметры!A$3:J$14,9,0)</f>
        <v>168</v>
      </c>
    </row>
    <row r="51" spans="1:40" ht="30" customHeight="1" x14ac:dyDescent="0.2">
      <c r="A51" s="11">
        <f>Параметры!A29</f>
        <v>1912045</v>
      </c>
      <c r="B51" s="29">
        <f>Параметры!B29</f>
        <v>0</v>
      </c>
      <c r="C51" s="48" t="str">
        <f>Параметры!C29</f>
        <v>Электромеханик</v>
      </c>
      <c r="D51" s="201"/>
      <c r="E51" s="201"/>
      <c r="F51" s="201"/>
      <c r="G51" s="201"/>
      <c r="H51" s="201"/>
      <c r="I51" s="201"/>
      <c r="J51" s="201"/>
      <c r="K51" s="201">
        <v>11</v>
      </c>
      <c r="L51" s="201"/>
      <c r="M51" s="201"/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36">
        <f t="shared" si="84"/>
        <v>140.19999999999999</v>
      </c>
      <c r="AJ51" s="13">
        <f t="shared" si="85"/>
        <v>11</v>
      </c>
      <c r="AK51" s="53">
        <f t="shared" si="86"/>
        <v>0</v>
      </c>
      <c r="AL51" s="27">
        <f>SUMPRODUCT((D$47:AH$47=Параметры!F$3:F$21)*TEXT(SUBSTITUTE(D51:AH51,"н",),"0,00;;0;\0"))</f>
        <v>0</v>
      </c>
      <c r="AM51" s="34"/>
      <c r="AN51" s="27">
        <f>VLOOKUP(TEXT($T$45,"ММММ"),Параметры!A$3:J$14,10,0)</f>
        <v>151.19999999999999</v>
      </c>
    </row>
    <row r="52" spans="1:40" ht="30" customHeight="1" x14ac:dyDescent="0.2">
      <c r="A52" s="11">
        <f>Параметры!A30</f>
        <v>1912103</v>
      </c>
      <c r="B52" s="29">
        <f>Параметры!B30</f>
        <v>0</v>
      </c>
      <c r="C52" s="48" t="str">
        <f>Параметры!C30</f>
        <v>Электромеханик</v>
      </c>
      <c r="D52" s="201"/>
      <c r="E52" s="201"/>
      <c r="F52" s="201"/>
      <c r="G52" s="201"/>
      <c r="H52" s="201"/>
      <c r="I52" s="201"/>
      <c r="J52" s="201"/>
      <c r="K52" s="201">
        <v>11</v>
      </c>
      <c r="L52" s="201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1"/>
      <c r="AE52" s="201"/>
      <c r="AF52" s="201"/>
      <c r="AG52" s="201"/>
      <c r="AH52" s="201"/>
      <c r="AI52" s="36">
        <f t="shared" si="84"/>
        <v>157</v>
      </c>
      <c r="AJ52" s="13">
        <f t="shared" si="85"/>
        <v>11</v>
      </c>
      <c r="AK52" s="53">
        <f t="shared" si="86"/>
        <v>0</v>
      </c>
      <c r="AL52" s="27">
        <f>SUMPRODUCT((D$47:AH$47=Параметры!F$3:F$21)*TEXT(SUBSTITUTE(D52:AH52,"н",),"0,00;;0;\0"))</f>
        <v>0</v>
      </c>
      <c r="AM52" s="34"/>
      <c r="AN52" s="27">
        <f>VLOOKUP(TEXT($T$45,"ММММ"),Параметры!A$3:J$14,9,0)</f>
        <v>168</v>
      </c>
    </row>
    <row r="53" spans="1:40" ht="30" customHeight="1" x14ac:dyDescent="0.2">
      <c r="A53" s="11">
        <f>Параметры!A31</f>
        <v>1912622</v>
      </c>
      <c r="B53" s="29">
        <f>Параметры!B31</f>
        <v>0</v>
      </c>
      <c r="C53" s="48" t="str">
        <f>Параметры!C31</f>
        <v>Электромонтер</v>
      </c>
      <c r="D53" s="201"/>
      <c r="E53" s="201"/>
      <c r="F53" s="201"/>
      <c r="G53" s="201"/>
      <c r="H53" s="201"/>
      <c r="I53" s="201"/>
      <c r="J53" s="201"/>
      <c r="K53" s="201">
        <v>11</v>
      </c>
      <c r="L53" s="201"/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201"/>
      <c r="X53" s="201"/>
      <c r="Y53" s="201"/>
      <c r="Z53" s="201"/>
      <c r="AA53" s="201"/>
      <c r="AB53" s="201"/>
      <c r="AC53" s="201"/>
      <c r="AD53" s="201"/>
      <c r="AE53" s="201"/>
      <c r="AF53" s="201"/>
      <c r="AG53" s="201"/>
      <c r="AH53" s="201"/>
      <c r="AI53" s="36">
        <f t="shared" si="84"/>
        <v>157</v>
      </c>
      <c r="AJ53" s="13">
        <f t="shared" si="85"/>
        <v>11</v>
      </c>
      <c r="AK53" s="53">
        <f t="shared" si="86"/>
        <v>0</v>
      </c>
      <c r="AL53" s="27">
        <f>SUMPRODUCT((D$47:AH$47=Параметры!F$3:F$21)*TEXT(SUBSTITUTE(D53:AH53,"н",),"0,00;;0;\0"))</f>
        <v>0</v>
      </c>
      <c r="AM53" s="34"/>
      <c r="AN53" s="27">
        <f>VLOOKUP(TEXT($T$45,"ММММ"),Параметры!A$3:J$14,9,0)</f>
        <v>168</v>
      </c>
    </row>
    <row r="54" spans="1:40" ht="30" customHeight="1" x14ac:dyDescent="0.2">
      <c r="A54" s="11">
        <f>Параметры!A32</f>
        <v>1912114</v>
      </c>
      <c r="B54" s="29">
        <f>Параметры!B32</f>
        <v>0</v>
      </c>
      <c r="C54" s="48" t="str">
        <f>Параметры!C32</f>
        <v>Электромонтер</v>
      </c>
      <c r="D54" s="201"/>
      <c r="E54" s="201"/>
      <c r="F54" s="201"/>
      <c r="G54" s="201"/>
      <c r="H54" s="201"/>
      <c r="I54" s="201"/>
      <c r="J54" s="201"/>
      <c r="K54" s="201">
        <v>11</v>
      </c>
      <c r="L54" s="201"/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201"/>
      <c r="X54" s="201"/>
      <c r="Y54" s="201"/>
      <c r="Z54" s="201"/>
      <c r="AA54" s="201"/>
      <c r="AB54" s="201"/>
      <c r="AC54" s="201"/>
      <c r="AD54" s="201"/>
      <c r="AE54" s="201"/>
      <c r="AF54" s="201"/>
      <c r="AG54" s="201"/>
      <c r="AH54" s="201"/>
      <c r="AI54" s="36">
        <f t="shared" si="84"/>
        <v>157</v>
      </c>
      <c r="AJ54" s="13">
        <f t="shared" si="85"/>
        <v>11</v>
      </c>
      <c r="AK54" s="53">
        <f t="shared" si="86"/>
        <v>0</v>
      </c>
      <c r="AL54" s="27">
        <f>SUMPRODUCT((D$47:AH$47=Параметры!F$3:F$21)*TEXT(SUBSTITUTE(D54:AH54,"н",),"0,00;;0;\0"))</f>
        <v>0</v>
      </c>
      <c r="AM54" s="34"/>
      <c r="AN54" s="27">
        <f>VLOOKUP(TEXT($T$45,"ММММ"),Параметры!A$3:J$14,9,0)</f>
        <v>168</v>
      </c>
    </row>
    <row r="55" spans="1:40" ht="30" customHeight="1" x14ac:dyDescent="0.2">
      <c r="A55" s="11">
        <f>Параметры!A33</f>
        <v>1925206</v>
      </c>
      <c r="B55" s="29">
        <f>Параметры!B33</f>
        <v>0</v>
      </c>
      <c r="C55" s="48" t="str">
        <f>Параметры!C33</f>
        <v>Телефонист</v>
      </c>
      <c r="D55" s="201"/>
      <c r="E55" s="201"/>
      <c r="F55" s="201"/>
      <c r="G55" s="201"/>
      <c r="H55" s="201"/>
      <c r="I55" s="201"/>
      <c r="J55" s="201"/>
      <c r="K55" s="201">
        <v>11</v>
      </c>
      <c r="L55" s="201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201"/>
      <c r="X55" s="201"/>
      <c r="Y55" s="201"/>
      <c r="Z55" s="201"/>
      <c r="AA55" s="201"/>
      <c r="AB55" s="201"/>
      <c r="AC55" s="201"/>
      <c r="AD55" s="201"/>
      <c r="AE55" s="201"/>
      <c r="AF55" s="201"/>
      <c r="AG55" s="201"/>
      <c r="AH55" s="201"/>
      <c r="AI55" s="36">
        <f t="shared" si="84"/>
        <v>140.19999999999999</v>
      </c>
      <c r="AJ55" s="13">
        <f t="shared" si="85"/>
        <v>11</v>
      </c>
      <c r="AK55" s="53">
        <f t="shared" si="86"/>
        <v>0</v>
      </c>
      <c r="AL55" s="27">
        <f>SUMPRODUCT((D$47:AH$47=Параметры!F$3:F$21)*TEXT(SUBSTITUTE(D55:AH55,"н",),"0,00;;0;\0"))</f>
        <v>0</v>
      </c>
      <c r="AM55" s="34"/>
      <c r="AN55" s="27">
        <f>VLOOKUP(TEXT($T$45,"ММММ"),Параметры!A$3:J$14,10,0)</f>
        <v>151.19999999999999</v>
      </c>
    </row>
    <row r="56" spans="1:40" ht="30" customHeight="1" x14ac:dyDescent="0.2">
      <c r="A56" s="11">
        <f>Параметры!A34</f>
        <v>1904059</v>
      </c>
      <c r="B56" s="29">
        <f>Параметры!B34</f>
        <v>0</v>
      </c>
      <c r="C56" s="48" t="str">
        <f>Параметры!C34</f>
        <v>Инженер</v>
      </c>
      <c r="D56" s="201"/>
      <c r="E56" s="201"/>
      <c r="F56" s="201"/>
      <c r="G56" s="201"/>
      <c r="H56" s="201"/>
      <c r="I56" s="201"/>
      <c r="J56" s="201"/>
      <c r="K56" s="201">
        <v>11</v>
      </c>
      <c r="L56" s="201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201"/>
      <c r="X56" s="201"/>
      <c r="Y56" s="201"/>
      <c r="Z56" s="201"/>
      <c r="AA56" s="201"/>
      <c r="AB56" s="201"/>
      <c r="AC56" s="201"/>
      <c r="AD56" s="201"/>
      <c r="AE56" s="201"/>
      <c r="AF56" s="201"/>
      <c r="AG56" s="201"/>
      <c r="AH56" s="201"/>
      <c r="AI56" s="36">
        <f t="shared" si="84"/>
        <v>157</v>
      </c>
      <c r="AJ56" s="13">
        <f t="shared" si="85"/>
        <v>11</v>
      </c>
      <c r="AK56" s="53">
        <f t="shared" si="86"/>
        <v>0</v>
      </c>
      <c r="AL56" s="27">
        <f>SUMPRODUCT((D$47:AH$47=Параметры!F$3:F$21)*TEXT(SUBSTITUTE(D56:AH56,"н",),"0,00;;0;\0"))</f>
        <v>0</v>
      </c>
      <c r="AM56" s="34"/>
      <c r="AN56" s="27">
        <f>VLOOKUP(TEXT($T$45,"ММММ"),Параметры!A$3:J$14,9,0)</f>
        <v>168</v>
      </c>
    </row>
    <row r="57" spans="1:40" ht="30" customHeight="1" x14ac:dyDescent="0.2">
      <c r="A57" s="11">
        <f>Параметры!A35</f>
        <v>1912510</v>
      </c>
      <c r="B57" s="29">
        <f>Параметры!B35</f>
        <v>0</v>
      </c>
      <c r="C57" s="48" t="str">
        <f>Параметры!C35</f>
        <v>Электромеханик</v>
      </c>
      <c r="D57" s="201"/>
      <c r="E57" s="201"/>
      <c r="F57" s="201"/>
      <c r="G57" s="201"/>
      <c r="H57" s="201"/>
      <c r="I57" s="201"/>
      <c r="J57" s="201"/>
      <c r="K57" s="201">
        <v>11</v>
      </c>
      <c r="L57" s="201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201"/>
      <c r="X57" s="201"/>
      <c r="Y57" s="201"/>
      <c r="Z57" s="201"/>
      <c r="AA57" s="201"/>
      <c r="AB57" s="201"/>
      <c r="AC57" s="201"/>
      <c r="AD57" s="201"/>
      <c r="AE57" s="201"/>
      <c r="AF57" s="201"/>
      <c r="AG57" s="201"/>
      <c r="AH57" s="201"/>
      <c r="AI57" s="36">
        <f t="shared" si="84"/>
        <v>157</v>
      </c>
      <c r="AJ57" s="13">
        <f t="shared" si="85"/>
        <v>11</v>
      </c>
      <c r="AK57" s="53">
        <f t="shared" si="86"/>
        <v>0</v>
      </c>
      <c r="AL57" s="27">
        <f>SUMPRODUCT((D$47:AH$47=Параметры!F$3:F$21)*TEXT(SUBSTITUTE(D57:AH57,"н",),"0,00;;0;\0"))</f>
        <v>0</v>
      </c>
      <c r="AM57" s="34"/>
      <c r="AN57" s="27">
        <f>VLOOKUP(TEXT($T$45,"ММММ"),Параметры!A$3:J$14,9,0)</f>
        <v>168</v>
      </c>
    </row>
    <row r="58" spans="1:40" ht="30" customHeight="1" x14ac:dyDescent="0.2">
      <c r="A58" s="11">
        <f>Параметры!A36</f>
        <v>1912130</v>
      </c>
      <c r="B58" s="29">
        <f>Параметры!B36</f>
        <v>0</v>
      </c>
      <c r="C58" s="48" t="str">
        <f>Параметры!C36</f>
        <v>Электромеханик</v>
      </c>
      <c r="D58" s="201"/>
      <c r="E58" s="201"/>
      <c r="F58" s="201"/>
      <c r="G58" s="201"/>
      <c r="H58" s="201"/>
      <c r="I58" s="201"/>
      <c r="J58" s="201"/>
      <c r="K58" s="201">
        <v>11</v>
      </c>
      <c r="L58" s="201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201"/>
      <c r="X58" s="201"/>
      <c r="Y58" s="201"/>
      <c r="Z58" s="201"/>
      <c r="AA58" s="201"/>
      <c r="AB58" s="201"/>
      <c r="AC58" s="201"/>
      <c r="AD58" s="201"/>
      <c r="AE58" s="201"/>
      <c r="AF58" s="201"/>
      <c r="AG58" s="201"/>
      <c r="AH58" s="201"/>
      <c r="AI58" s="36">
        <f t="shared" si="84"/>
        <v>157</v>
      </c>
      <c r="AJ58" s="13">
        <f t="shared" si="85"/>
        <v>11</v>
      </c>
      <c r="AK58" s="53">
        <f t="shared" si="86"/>
        <v>0</v>
      </c>
      <c r="AL58" s="27">
        <f>SUMPRODUCT((D$47:AH$47=Параметры!F$3:F$21)*TEXT(SUBSTITUTE(D58:AH58,"н",),"0,00;;0;\0"))</f>
        <v>0</v>
      </c>
      <c r="AM58" s="34"/>
      <c r="AN58" s="27">
        <f>VLOOKUP(TEXT($T$45,"ММММ"),Параметры!A$3:J$14,9,0)</f>
        <v>168</v>
      </c>
    </row>
    <row r="59" spans="1:40" ht="30" customHeight="1" x14ac:dyDescent="0.2">
      <c r="A59" s="11">
        <f>Параметры!A37</f>
        <v>1915704</v>
      </c>
      <c r="B59" s="29">
        <f>Параметры!B37</f>
        <v>0</v>
      </c>
      <c r="C59" s="48" t="str">
        <f>Параметры!C37</f>
        <v>Электромеханик</v>
      </c>
      <c r="D59" s="201"/>
      <c r="E59" s="201"/>
      <c r="F59" s="201"/>
      <c r="G59" s="201"/>
      <c r="H59" s="201"/>
      <c r="I59" s="201"/>
      <c r="J59" s="201"/>
      <c r="K59" s="201">
        <v>11</v>
      </c>
      <c r="L59" s="201"/>
      <c r="M59" s="201"/>
      <c r="N59" s="201"/>
      <c r="O59" s="201"/>
      <c r="P59" s="201"/>
      <c r="Q59" s="201"/>
      <c r="R59" s="201"/>
      <c r="S59" s="201"/>
      <c r="T59" s="201"/>
      <c r="U59" s="201"/>
      <c r="V59" s="201"/>
      <c r="W59" s="201"/>
      <c r="X59" s="201"/>
      <c r="Y59" s="201"/>
      <c r="Z59" s="201"/>
      <c r="AA59" s="201"/>
      <c r="AB59" s="201"/>
      <c r="AC59" s="201"/>
      <c r="AD59" s="201"/>
      <c r="AE59" s="201"/>
      <c r="AF59" s="201"/>
      <c r="AG59" s="201"/>
      <c r="AH59" s="201"/>
      <c r="AI59" s="36">
        <f t="shared" si="84"/>
        <v>157</v>
      </c>
      <c r="AJ59" s="13">
        <f t="shared" si="85"/>
        <v>11</v>
      </c>
      <c r="AK59" s="53">
        <f t="shared" si="86"/>
        <v>0</v>
      </c>
      <c r="AL59" s="27">
        <f>SUMPRODUCT((D$47:AH$47=Параметры!F$3:F$21)*TEXT(SUBSTITUTE(D59:AH59,"н",),"0,00;;0;\0"))</f>
        <v>0</v>
      </c>
      <c r="AM59" s="34"/>
      <c r="AN59" s="27">
        <f>VLOOKUP(TEXT($T$45,"ММММ"),Параметры!A$3:J$14,9,0)</f>
        <v>168</v>
      </c>
    </row>
    <row r="60" spans="1:40" ht="30" customHeight="1" x14ac:dyDescent="0.2">
      <c r="A60" s="11">
        <f>Параметры!A38</f>
        <v>1912044</v>
      </c>
      <c r="B60" s="29">
        <f>Параметры!B38</f>
        <v>0</v>
      </c>
      <c r="C60" s="48" t="str">
        <f>Параметры!C38</f>
        <v>Электромонтер</v>
      </c>
      <c r="D60" s="201"/>
      <c r="E60" s="201"/>
      <c r="F60" s="201"/>
      <c r="G60" s="201"/>
      <c r="H60" s="201"/>
      <c r="I60" s="201"/>
      <c r="J60" s="201"/>
      <c r="K60" s="201">
        <v>11</v>
      </c>
      <c r="L60" s="201"/>
      <c r="M60" s="201"/>
      <c r="N60" s="201"/>
      <c r="O60" s="201"/>
      <c r="P60" s="201"/>
      <c r="Q60" s="201"/>
      <c r="R60" s="201"/>
      <c r="S60" s="201"/>
      <c r="T60" s="201"/>
      <c r="U60" s="201"/>
      <c r="V60" s="201"/>
      <c r="W60" s="201"/>
      <c r="X60" s="201"/>
      <c r="Y60" s="201"/>
      <c r="Z60" s="201"/>
      <c r="AA60" s="201"/>
      <c r="AB60" s="201"/>
      <c r="AC60" s="201"/>
      <c r="AD60" s="201"/>
      <c r="AE60" s="201"/>
      <c r="AF60" s="201"/>
      <c r="AG60" s="201"/>
      <c r="AH60" s="201"/>
      <c r="AI60" s="36">
        <f t="shared" si="84"/>
        <v>140.19999999999999</v>
      </c>
      <c r="AJ60" s="13">
        <f t="shared" si="85"/>
        <v>11</v>
      </c>
      <c r="AK60" s="53">
        <f t="shared" si="86"/>
        <v>0</v>
      </c>
      <c r="AL60" s="27">
        <f>SUMPRODUCT((D$47:AH$47=Параметры!F$3:F$21)*TEXT(SUBSTITUTE(D60:AH60,"н",),"0,00;;0;\0"))</f>
        <v>0</v>
      </c>
      <c r="AM60" s="34"/>
      <c r="AN60" s="27">
        <f>VLOOKUP(TEXT($T$45,"ММММ"),Параметры!A$3:J$14,10,0)</f>
        <v>151.19999999999999</v>
      </c>
    </row>
    <row r="61" spans="1:40" ht="30" customHeight="1" x14ac:dyDescent="0.2">
      <c r="A61" s="11">
        <f>Параметры!A39</f>
        <v>1927879</v>
      </c>
      <c r="B61" s="29">
        <f>Параметры!B39</f>
        <v>0</v>
      </c>
      <c r="C61" s="48" t="str">
        <f>Параметры!C39</f>
        <v>Электромонтер</v>
      </c>
      <c r="D61" s="201"/>
      <c r="E61" s="201"/>
      <c r="F61" s="201"/>
      <c r="G61" s="201"/>
      <c r="H61" s="201"/>
      <c r="I61" s="201"/>
      <c r="J61" s="201"/>
      <c r="K61" s="201">
        <v>11</v>
      </c>
      <c r="L61" s="201"/>
      <c r="M61" s="201"/>
      <c r="N61" s="201"/>
      <c r="O61" s="201"/>
      <c r="P61" s="201"/>
      <c r="Q61" s="201"/>
      <c r="R61" s="201"/>
      <c r="S61" s="201"/>
      <c r="T61" s="201"/>
      <c r="U61" s="201"/>
      <c r="V61" s="201"/>
      <c r="W61" s="201"/>
      <c r="X61" s="201"/>
      <c r="Y61" s="201"/>
      <c r="Z61" s="201"/>
      <c r="AA61" s="201"/>
      <c r="AB61" s="201"/>
      <c r="AC61" s="201"/>
      <c r="AD61" s="201"/>
      <c r="AE61" s="201"/>
      <c r="AF61" s="201"/>
      <c r="AG61" s="201"/>
      <c r="AH61" s="201"/>
      <c r="AI61" s="36">
        <f t="shared" si="84"/>
        <v>157</v>
      </c>
      <c r="AJ61" s="13">
        <f t="shared" si="85"/>
        <v>11</v>
      </c>
      <c r="AK61" s="53">
        <f t="shared" si="86"/>
        <v>0</v>
      </c>
      <c r="AL61" s="27">
        <f>SUMPRODUCT((D$47:AH$47=Параметры!F$3:F$21)*TEXT(SUBSTITUTE(D61:AH61,"н",),"0,00;;0;\0"))</f>
        <v>0</v>
      </c>
      <c r="AM61" s="34"/>
      <c r="AN61" s="27">
        <f>VLOOKUP(TEXT($T$45,"ММММ"),Параметры!A$3:J$14,9,0)</f>
        <v>168</v>
      </c>
    </row>
    <row r="62" spans="1:40" ht="30" customHeight="1" x14ac:dyDescent="0.2">
      <c r="A62" s="11">
        <f>Параметры!A40</f>
        <v>1912037</v>
      </c>
      <c r="B62" s="29">
        <f>Параметры!B40</f>
        <v>0</v>
      </c>
      <c r="C62" s="48" t="str">
        <f>Параметры!C40</f>
        <v>Электромонтер</v>
      </c>
      <c r="D62" s="201"/>
      <c r="E62" s="201"/>
      <c r="F62" s="201"/>
      <c r="G62" s="201"/>
      <c r="H62" s="201"/>
      <c r="I62" s="201"/>
      <c r="J62" s="201"/>
      <c r="K62" s="201">
        <v>11</v>
      </c>
      <c r="L62" s="201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201"/>
      <c r="X62" s="201"/>
      <c r="Y62" s="201"/>
      <c r="Z62" s="201"/>
      <c r="AA62" s="201"/>
      <c r="AB62" s="201"/>
      <c r="AC62" s="201"/>
      <c r="AD62" s="201"/>
      <c r="AE62" s="201"/>
      <c r="AF62" s="201"/>
      <c r="AG62" s="201"/>
      <c r="AH62" s="201"/>
      <c r="AI62" s="36">
        <f t="shared" si="84"/>
        <v>157</v>
      </c>
      <c r="AJ62" s="13">
        <f t="shared" si="85"/>
        <v>11</v>
      </c>
      <c r="AK62" s="53">
        <f t="shared" si="86"/>
        <v>0</v>
      </c>
      <c r="AL62" s="27">
        <f>SUMPRODUCT((D$47:AH$47=Параметры!F$3:F$21)*TEXT(SUBSTITUTE(D62:AH62,"н",),"0,00;;0;\0"))</f>
        <v>0</v>
      </c>
      <c r="AM62" s="34"/>
      <c r="AN62" s="27">
        <f>VLOOKUP(TEXT($T$45,"ММММ"),Параметры!A$3:J$14,9,0)</f>
        <v>168</v>
      </c>
    </row>
    <row r="63" spans="1:40" ht="30" customHeight="1" x14ac:dyDescent="0.2">
      <c r="A63" s="11">
        <f>Параметры!A41</f>
        <v>1913850</v>
      </c>
      <c r="B63" s="29">
        <f>Параметры!B41</f>
        <v>0</v>
      </c>
      <c r="C63" s="48" t="str">
        <f>Параметры!C41</f>
        <v>Телефонист</v>
      </c>
      <c r="D63" s="201"/>
      <c r="E63" s="201"/>
      <c r="F63" s="201"/>
      <c r="G63" s="201"/>
      <c r="H63" s="201"/>
      <c r="I63" s="201"/>
      <c r="J63" s="201"/>
      <c r="K63" s="201">
        <v>11</v>
      </c>
      <c r="L63" s="201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201"/>
      <c r="X63" s="201"/>
      <c r="Y63" s="201"/>
      <c r="Z63" s="201"/>
      <c r="AA63" s="201"/>
      <c r="AB63" s="201"/>
      <c r="AC63" s="201"/>
      <c r="AD63" s="201"/>
      <c r="AE63" s="201"/>
      <c r="AF63" s="201"/>
      <c r="AG63" s="201"/>
      <c r="AH63" s="201"/>
      <c r="AI63" s="36">
        <f t="shared" si="84"/>
        <v>140.19999999999999</v>
      </c>
      <c r="AJ63" s="13">
        <f t="shared" si="85"/>
        <v>11</v>
      </c>
      <c r="AK63" s="53">
        <f t="shared" si="86"/>
        <v>0</v>
      </c>
      <c r="AL63" s="27">
        <f>SUMPRODUCT((D$47:AH$47=Параметры!F$3:F$21)*TEXT(SUBSTITUTE(D63:AH63,"н",),"0,00;;0;\0"))</f>
        <v>0</v>
      </c>
      <c r="AM63" s="34"/>
      <c r="AN63" s="27">
        <f>VLOOKUP(TEXT($T$45,"ММММ"),Параметры!A$3:J$14,10,0)</f>
        <v>151.19999999999999</v>
      </c>
    </row>
  </sheetData>
  <dataConsolidate/>
  <mergeCells count="21">
    <mergeCell ref="M25:S25"/>
    <mergeCell ref="T25:V25"/>
    <mergeCell ref="W25:X25"/>
    <mergeCell ref="M45:S45"/>
    <mergeCell ref="T45:V45"/>
    <mergeCell ref="W45:X45"/>
    <mergeCell ref="A44:AM44"/>
    <mergeCell ref="M5:S5"/>
    <mergeCell ref="T5:V5"/>
    <mergeCell ref="W5:X5"/>
    <mergeCell ref="A24:AM24"/>
    <mergeCell ref="A4:AM4"/>
    <mergeCell ref="D13:J13"/>
    <mergeCell ref="L2:Y2"/>
    <mergeCell ref="F1:G1"/>
    <mergeCell ref="C2:G2"/>
    <mergeCell ref="C3:G3"/>
    <mergeCell ref="A1:B1"/>
    <mergeCell ref="A2:B2"/>
    <mergeCell ref="A3:B3"/>
    <mergeCell ref="D1:E1"/>
  </mergeCells>
  <conditionalFormatting sqref="D7:AH7">
    <cfRule type="expression" dxfId="126" priority="21">
      <formula>WEEKDAY(D7,2)&gt;5</formula>
    </cfRule>
    <cfRule type="expression" dxfId="125" priority="22">
      <formula>D7&gt;EOMONTH($D$9,0)</formula>
    </cfRule>
    <cfRule type="expression" dxfId="124" priority="24">
      <formula>WEEKDAY(D7,2)&gt;5</formula>
    </cfRule>
  </conditionalFormatting>
  <conditionalFormatting sqref="D27:AH27">
    <cfRule type="expression" dxfId="123" priority="15">
      <formula>WEEKDAY(D27,2)&gt;5</formula>
    </cfRule>
    <cfRule type="expression" dxfId="122" priority="16">
      <formula>D27&gt;EOMONTH($D$9,0)</formula>
    </cfRule>
    <cfRule type="expression" dxfId="121" priority="18">
      <formula>WEEKDAY(D27,2)&gt;5</formula>
    </cfRule>
  </conditionalFormatting>
  <conditionalFormatting sqref="D47:AH47">
    <cfRule type="expression" dxfId="120" priority="3">
      <formula>WEEKDAY(D47,2)&gt;5</formula>
    </cfRule>
    <cfRule type="expression" dxfId="119" priority="4">
      <formula>D47&gt;EOMONTH($D$9,0)</formula>
    </cfRule>
    <cfRule type="expression" dxfId="118" priority="6">
      <formula>WEEKDAY(D47,2)&gt;5</formula>
    </cfRule>
  </conditionalFormatting>
  <dataValidations count="2">
    <dataValidation showInputMessage="1" showErrorMessage="1" promptTitle="месяц" sqref="T5:V5 T25:V25 T45:V45"/>
    <dataValidation type="list" showInputMessage="1" showErrorMessage="1" promptTitle="год" sqref="W25:X25 W45:X45">
      <formula1>$C$3:$C$21</formula1>
    </dataValidation>
  </dataValidations>
  <hyperlinks>
    <hyperlink ref="C1" location="'На квартал'!A1" display="'На квартал'!A1"/>
    <hyperlink ref="D1" location="'На квартал'!A23" display="'На квартал'!A23"/>
    <hyperlink ref="F1" location="'На квартал'!A45" display="'На квартал'!A45"/>
  </hyperlinks>
  <printOptions verticalCentered="1"/>
  <pageMargins left="0.25" right="0.25" top="0.75" bottom="0.75" header="0.3" footer="0.3"/>
  <pageSetup paperSize="9" scale="54" fitToHeight="0" orientation="landscape" r:id="rId1"/>
  <headerFooter alignWithMargins="0"/>
  <rowBreaks count="2" manualBreakCount="2">
    <brk id="23" max="39" man="1"/>
    <brk id="43" max="3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2" stopIfTrue="1" id="{00000000-000E-0000-0000-000027000000}">
            <xm:f>ISNUMBER(MATCH(AI$7,Параметры!$F$3:$F$21,0))</xm:f>
            <x14:dxf>
              <font>
                <b val="0"/>
                <i val="0"/>
              </font>
              <fill>
                <patternFill>
                  <bgColor theme="0" tint="-0.14996795556505021"/>
                </patternFill>
              </fill>
            </x14:dxf>
          </x14:cfRule>
          <xm:sqref>AI7:AHE7</xm:sqref>
        </x14:conditionalFormatting>
        <x14:conditionalFormatting xmlns:xm="http://schemas.microsoft.com/office/excel/2006/main">
          <x14:cfRule type="expression" priority="19" id="{DC6F3A69-253A-4604-8D8D-1B257E4D4370}">
            <xm:f>ISNUMBER(MATCH(D7,Параметры!$E$4:$E$22,0))</xm:f>
            <x14:dxf>
              <font>
                <b val="0"/>
                <i val="0"/>
                <strike val="0"/>
                <u val="none"/>
                <color theme="1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20" id="{08F70F23-C16C-412C-8978-54FE94FBD09E}">
            <xm:f>ISNUMBER(MATCH(D7,Параметры!$F$4:$F$22,0))</xm:f>
            <x14:dxf>
              <font>
                <b val="0"/>
                <i val="0"/>
                <color theme="1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23" id="{4D6C8D6A-25C8-4725-AACF-69FB56517A57}">
            <xm:f>ISNUMBER(MATCH(D7,Параметры!$G$4:$G$22,0))</xm:f>
            <x14:dxf>
              <font>
                <b val="0"/>
                <i val="0"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D7:AH7</xm:sqref>
        </x14:conditionalFormatting>
        <x14:conditionalFormatting xmlns:xm="http://schemas.microsoft.com/office/excel/2006/main">
          <x14:cfRule type="expression" priority="13" id="{173CFC90-4EF2-4E3E-909D-1E938BAFED34}">
            <xm:f>ISNUMBER(MATCH(D27,Параметры!$E$4:$E$22,0))</xm:f>
            <x14:dxf>
              <font>
                <b val="0"/>
                <i val="0"/>
                <strike val="0"/>
                <u val="none"/>
                <color theme="1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14" id="{261BC303-ED9E-40D9-9415-DF1B31E3564A}">
            <xm:f>ISNUMBER(MATCH(D27,Параметры!$F$4:$F$22,0))</xm:f>
            <x14:dxf>
              <font>
                <b val="0"/>
                <i val="0"/>
                <color theme="1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7" id="{0033D290-A4F9-4376-B204-AC91F7CCDBEA}">
            <xm:f>ISNUMBER(MATCH(D27,Параметры!$G$4:$G$22,0))</xm:f>
            <x14:dxf>
              <font>
                <b val="0"/>
                <i val="0"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D27:AH27</xm:sqref>
        </x14:conditionalFormatting>
        <x14:conditionalFormatting xmlns:xm="http://schemas.microsoft.com/office/excel/2006/main">
          <x14:cfRule type="expression" priority="1" id="{C778D2D8-27CE-4FC9-ACDF-D05341928430}">
            <xm:f>ISNUMBER(MATCH(D47,Параметры!$E$4:$E$22,0))</xm:f>
            <x14:dxf>
              <font>
                <b val="0"/>
                <i val="0"/>
                <strike val="0"/>
                <u val="none"/>
                <color theme="1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2" id="{147A4873-9DA1-415F-AC72-B5987346D24B}">
            <xm:f>ISNUMBER(MATCH(D47,Параметры!$F$4:$F$22,0))</xm:f>
            <x14:dxf>
              <font>
                <b val="0"/>
                <i val="0"/>
                <color theme="1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5" id="{C357EF66-A88D-4876-A357-057AAA5E99A6}">
            <xm:f>ISNUMBER(MATCH(D47,Параметры!$G$4:$G$22,0))</xm:f>
            <x14:dxf>
              <font>
                <b val="0"/>
                <i val="0"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D47:AH47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Title="год">
          <x14:formula1>
            <xm:f>Параметры!$C$3:$C$21</xm:f>
          </x14:formula1>
          <xm:sqref>W5:X5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96"/>
  <sheetViews>
    <sheetView tabSelected="1" zoomScaleNormal="100" zoomScaleSheetLayoutView="85" workbookViewId="0">
      <selection activeCell="F83" sqref="F83"/>
    </sheetView>
  </sheetViews>
  <sheetFormatPr defaultColWidth="9.140625" defaultRowHeight="12.75" outlineLevelCol="1" x14ac:dyDescent="0.2"/>
  <cols>
    <col min="1" max="1" width="2.7109375" style="80" customWidth="1"/>
    <col min="2" max="2" width="4.7109375" style="94" customWidth="1"/>
    <col min="3" max="3" width="18.42578125" style="94" customWidth="1"/>
    <col min="4" max="4" width="13" style="94" bestFit="1" customWidth="1"/>
    <col min="5" max="5" width="4.140625" style="94" hidden="1" customWidth="1"/>
    <col min="6" max="21" width="5.85546875" style="94" customWidth="1"/>
    <col min="22" max="22" width="8.42578125" style="94" customWidth="1"/>
    <col min="23" max="23" width="7" style="94" customWidth="1"/>
    <col min="24" max="24" width="6.7109375" style="95" hidden="1" customWidth="1" outlineLevel="1"/>
    <col min="25" max="25" width="5.5703125" style="94" hidden="1" customWidth="1" outlineLevel="1"/>
    <col min="26" max="26" width="7.140625" style="95" hidden="1" customWidth="1" outlineLevel="1"/>
    <col min="27" max="27" width="6.7109375" style="94" hidden="1" customWidth="1" outlineLevel="1"/>
    <col min="28" max="28" width="5.5703125" style="94" hidden="1" customWidth="1" outlineLevel="1"/>
    <col min="29" max="29" width="7.140625" style="94" hidden="1" customWidth="1" outlineLevel="1"/>
    <col min="30" max="30" width="8.28515625" style="94" customWidth="1" collapsed="1"/>
    <col min="31" max="31" width="9.7109375" style="94" customWidth="1"/>
    <col min="32" max="33" width="3.7109375" style="94" customWidth="1"/>
    <col min="34" max="34" width="6.42578125" style="110" customWidth="1"/>
    <col min="35" max="35" width="9.140625" style="90"/>
    <col min="36" max="36" width="4.42578125" style="90" customWidth="1"/>
    <col min="37" max="37" width="9.140625" style="90"/>
    <col min="38" max="16384" width="9.140625" style="80"/>
  </cols>
  <sheetData>
    <row r="1" spans="2:37" ht="9.75" customHeight="1" x14ac:dyDescent="0.2">
      <c r="B1" s="86"/>
      <c r="C1" s="87"/>
      <c r="D1" s="87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8"/>
      <c r="U1" s="81"/>
      <c r="V1" s="81"/>
      <c r="W1" s="82"/>
      <c r="X1" s="82"/>
      <c r="Y1" s="82"/>
      <c r="Z1" s="82"/>
      <c r="AA1" s="82"/>
      <c r="AB1" s="83"/>
      <c r="AC1" s="83"/>
      <c r="AD1" s="84"/>
      <c r="AE1" s="84"/>
      <c r="AF1" s="84"/>
      <c r="AG1" s="84"/>
      <c r="AH1" s="84"/>
      <c r="AI1" s="89"/>
    </row>
    <row r="2" spans="2:37" ht="15.75" x14ac:dyDescent="0.2">
      <c r="B2" s="86"/>
      <c r="C2" s="87"/>
      <c r="D2" s="87"/>
      <c r="E2" s="88"/>
      <c r="F2" s="299" t="s">
        <v>52</v>
      </c>
      <c r="G2" s="299"/>
      <c r="H2" s="299"/>
      <c r="I2" s="299"/>
      <c r="J2" s="91"/>
      <c r="K2" s="91"/>
      <c r="L2" s="91"/>
      <c r="M2" s="91"/>
      <c r="N2" s="92"/>
      <c r="O2" s="92"/>
      <c r="P2" s="92"/>
      <c r="Q2" s="92"/>
      <c r="R2" s="93"/>
      <c r="S2" s="93"/>
      <c r="T2" s="93"/>
      <c r="U2" s="93"/>
      <c r="V2" s="81"/>
      <c r="AA2" s="96"/>
      <c r="AB2" s="96"/>
      <c r="AC2" s="96"/>
      <c r="AD2" s="96"/>
      <c r="AE2" s="123"/>
      <c r="AF2" s="123"/>
      <c r="AG2" s="123"/>
      <c r="AH2" s="123"/>
      <c r="AI2" s="123"/>
    </row>
    <row r="3" spans="2:37" ht="15.75" x14ac:dyDescent="0.2">
      <c r="B3" s="86"/>
      <c r="C3" s="87"/>
      <c r="D3" s="87"/>
      <c r="E3" s="88"/>
      <c r="F3" s="299" t="s">
        <v>53</v>
      </c>
      <c r="G3" s="299"/>
      <c r="H3" s="299" t="s">
        <v>54</v>
      </c>
      <c r="I3" s="299"/>
      <c r="J3" s="91"/>
      <c r="K3" s="91"/>
      <c r="L3" s="91"/>
      <c r="M3" s="91"/>
      <c r="N3" s="92"/>
      <c r="O3" s="92"/>
      <c r="P3" s="92"/>
      <c r="Q3" s="92"/>
      <c r="R3" s="93"/>
      <c r="S3" s="93"/>
      <c r="T3" s="93"/>
      <c r="U3" s="93"/>
      <c r="V3" s="81"/>
      <c r="AA3" s="89"/>
      <c r="AB3" s="96"/>
      <c r="AC3" s="96"/>
      <c r="AD3" s="96"/>
      <c r="AE3" s="123"/>
      <c r="AF3" s="123"/>
      <c r="AG3" s="123"/>
      <c r="AH3" s="123"/>
      <c r="AI3" s="123"/>
    </row>
    <row r="4" spans="2:37" ht="14.25" x14ac:dyDescent="0.2">
      <c r="B4" s="86"/>
      <c r="C4" s="87"/>
      <c r="D4" s="87"/>
      <c r="E4" s="81"/>
      <c r="F4" s="300">
        <f>DATE($S$8,VLOOKUP($P$8,[1]всяки!$A$1:$B$12,2,0),1)</f>
        <v>43983</v>
      </c>
      <c r="G4" s="300"/>
      <c r="H4" s="305">
        <f>EOMONTH(F4,0)</f>
        <v>44012</v>
      </c>
      <c r="I4" s="305"/>
      <c r="J4" s="91"/>
      <c r="K4" s="91"/>
      <c r="L4" s="91"/>
      <c r="M4" s="91"/>
      <c r="N4" s="92"/>
      <c r="O4" s="92"/>
      <c r="P4" s="92"/>
      <c r="Q4" s="92"/>
      <c r="R4" s="97"/>
      <c r="S4" s="97"/>
      <c r="T4" s="97"/>
      <c r="U4" s="97"/>
      <c r="V4" s="81"/>
      <c r="AA4" s="89"/>
      <c r="AB4" s="96"/>
      <c r="AC4" s="96"/>
      <c r="AD4" s="96"/>
      <c r="AE4" s="123"/>
      <c r="AF4" s="123"/>
      <c r="AG4" s="123"/>
      <c r="AH4" s="123"/>
      <c r="AI4" s="123"/>
    </row>
    <row r="5" spans="2:37" ht="12" customHeight="1" x14ac:dyDescent="0.2">
      <c r="B5" s="86"/>
      <c r="C5" s="87"/>
      <c r="D5" s="87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8"/>
      <c r="U5" s="81"/>
      <c r="V5" s="81"/>
      <c r="W5" s="82"/>
      <c r="X5" s="82"/>
      <c r="Y5" s="82"/>
      <c r="Z5" s="82"/>
      <c r="AA5" s="82"/>
      <c r="AB5" s="88"/>
      <c r="AC5" s="88"/>
      <c r="AD5" s="88"/>
      <c r="AE5" s="123"/>
      <c r="AF5" s="123"/>
      <c r="AG5" s="123"/>
      <c r="AH5" s="123"/>
      <c r="AI5" s="123"/>
    </row>
    <row r="6" spans="2:37" ht="15" customHeight="1" x14ac:dyDescent="0.2">
      <c r="B6" s="99"/>
      <c r="C6" s="93"/>
      <c r="D6" s="93"/>
      <c r="E6" s="93"/>
      <c r="F6" s="90"/>
      <c r="G6" s="98"/>
      <c r="H6" s="98"/>
      <c r="I6" s="98"/>
      <c r="J6" s="98"/>
      <c r="K6" s="98"/>
      <c r="L6" s="98"/>
      <c r="M6" s="98"/>
      <c r="N6" s="98"/>
      <c r="O6" s="98"/>
      <c r="P6" s="88"/>
      <c r="Q6" s="88"/>
      <c r="R6" s="88"/>
      <c r="S6" s="88"/>
      <c r="T6" s="88"/>
      <c r="U6" s="88"/>
      <c r="V6" s="88"/>
      <c r="W6" s="90"/>
      <c r="X6" s="90"/>
      <c r="Y6" s="90"/>
      <c r="Z6" s="90"/>
      <c r="AA6" s="90"/>
      <c r="AB6" s="90"/>
      <c r="AC6" s="90"/>
      <c r="AD6" s="88"/>
      <c r="AE6" s="123"/>
      <c r="AF6" s="123"/>
      <c r="AG6" s="123"/>
      <c r="AH6" s="123"/>
      <c r="AI6" s="123"/>
    </row>
    <row r="7" spans="2:37" ht="15" customHeight="1" x14ac:dyDescent="0.3">
      <c r="B7" s="99"/>
      <c r="C7" s="93"/>
      <c r="D7" s="93"/>
      <c r="E7" s="93"/>
      <c r="F7" s="303" t="s">
        <v>76</v>
      </c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88"/>
      <c r="W7" s="90"/>
      <c r="X7" s="90"/>
      <c r="Y7" s="90"/>
      <c r="Z7" s="90"/>
      <c r="AA7" s="90"/>
      <c r="AB7" s="90"/>
      <c r="AC7" s="90"/>
      <c r="AD7" s="88"/>
      <c r="AE7" s="123"/>
      <c r="AF7" s="123"/>
      <c r="AG7" s="123"/>
      <c r="AH7" s="123"/>
      <c r="AI7" s="123"/>
    </row>
    <row r="8" spans="2:37" ht="18" customHeight="1" x14ac:dyDescent="0.2">
      <c r="B8" s="92"/>
      <c r="C8" s="93"/>
      <c r="D8" s="93"/>
      <c r="E8" s="93"/>
      <c r="F8" s="301" t="s">
        <v>77</v>
      </c>
      <c r="G8" s="302"/>
      <c r="H8" s="302"/>
      <c r="I8" s="302"/>
      <c r="J8" s="302"/>
      <c r="K8" s="302"/>
      <c r="L8" s="302"/>
      <c r="M8" s="302"/>
      <c r="N8" s="302"/>
      <c r="O8" s="302"/>
      <c r="P8" s="304" t="s">
        <v>19</v>
      </c>
      <c r="Q8" s="304"/>
      <c r="R8" s="304"/>
      <c r="S8" s="304">
        <v>2020</v>
      </c>
      <c r="T8" s="304"/>
      <c r="U8" s="122" t="s">
        <v>78</v>
      </c>
      <c r="V8" s="121"/>
      <c r="W8" s="121"/>
      <c r="X8" s="121"/>
      <c r="Y8" s="121"/>
      <c r="Z8" s="121"/>
      <c r="AA8" s="121"/>
      <c r="AB8" s="121"/>
      <c r="AC8" s="121"/>
      <c r="AD8" s="121"/>
      <c r="AE8" s="123"/>
      <c r="AF8" s="123"/>
      <c r="AG8" s="123"/>
      <c r="AH8" s="123"/>
      <c r="AI8" s="123"/>
    </row>
    <row r="9" spans="2:37" ht="15.75" customHeight="1" thickBot="1" x14ac:dyDescent="0.25">
      <c r="B9" s="79"/>
      <c r="C9" s="79"/>
      <c r="D9" s="79"/>
      <c r="E9" s="100"/>
      <c r="F9" s="98"/>
      <c r="G9" s="98"/>
      <c r="H9" s="98"/>
      <c r="I9" s="98"/>
      <c r="J9" s="98"/>
      <c r="K9" s="98"/>
      <c r="L9" s="98"/>
      <c r="M9" s="98"/>
      <c r="N9" s="98"/>
      <c r="O9" s="98"/>
      <c r="P9" s="88"/>
      <c r="Q9" s="88"/>
      <c r="R9" s="88"/>
      <c r="S9" s="88"/>
      <c r="T9" s="88"/>
      <c r="U9" s="88"/>
      <c r="V9" s="88"/>
      <c r="W9" s="90"/>
      <c r="X9" s="90"/>
      <c r="Y9" s="90"/>
      <c r="Z9" s="90"/>
      <c r="AA9" s="90"/>
      <c r="AB9" s="90"/>
      <c r="AC9" s="90"/>
      <c r="AD9" s="88"/>
      <c r="AE9" s="88"/>
      <c r="AF9" s="88"/>
      <c r="AG9" s="88"/>
      <c r="AH9" s="88"/>
      <c r="AI9" s="89"/>
    </row>
    <row r="10" spans="2:37" ht="27.75" customHeight="1" x14ac:dyDescent="0.2">
      <c r="B10" s="265" t="s">
        <v>55</v>
      </c>
      <c r="C10" s="268" t="s">
        <v>94</v>
      </c>
      <c r="D10" s="271" t="s">
        <v>56</v>
      </c>
      <c r="E10" s="274" t="s">
        <v>57</v>
      </c>
      <c r="F10" s="277" t="s">
        <v>58</v>
      </c>
      <c r="G10" s="278"/>
      <c r="H10" s="278"/>
      <c r="I10" s="278"/>
      <c r="J10" s="278"/>
      <c r="K10" s="278"/>
      <c r="L10" s="278"/>
      <c r="M10" s="278"/>
      <c r="N10" s="278"/>
      <c r="O10" s="278"/>
      <c r="P10" s="278"/>
      <c r="Q10" s="278"/>
      <c r="R10" s="278"/>
      <c r="S10" s="278"/>
      <c r="T10" s="278"/>
      <c r="U10" s="279"/>
      <c r="V10" s="277" t="s">
        <v>59</v>
      </c>
      <c r="W10" s="278"/>
      <c r="X10" s="280" t="s">
        <v>60</v>
      </c>
      <c r="Y10" s="278"/>
      <c r="Z10" s="278"/>
      <c r="AA10" s="278"/>
      <c r="AB10" s="278"/>
      <c r="AC10" s="281"/>
      <c r="AD10" s="288" t="s">
        <v>61</v>
      </c>
      <c r="AE10" s="289"/>
      <c r="AF10" s="289"/>
      <c r="AG10" s="289"/>
      <c r="AH10" s="290"/>
    </row>
    <row r="11" spans="2:37" ht="18" customHeight="1" x14ac:dyDescent="0.2">
      <c r="B11" s="266"/>
      <c r="C11" s="269"/>
      <c r="D11" s="272"/>
      <c r="E11" s="275"/>
      <c r="F11" s="291">
        <f>DATE($S$8,VLOOKUP($P$8,[1]всяки!$A$1:$B$12,2,0),1)</f>
        <v>43983</v>
      </c>
      <c r="G11" s="263">
        <f>DATE($S$8,VLOOKUP($P$8,[1]всяки!$A$1:$B$12,2,0),1+COLUMN(A:A))</f>
        <v>43984</v>
      </c>
      <c r="H11" s="263">
        <f>DATE($S$8,VLOOKUP($P$8,[1]всяки!$A$1:$B$12,2,0),1+COLUMN(B:B))</f>
        <v>43985</v>
      </c>
      <c r="I11" s="263">
        <f>DATE($S$8,VLOOKUP($P$8,[1]всяки!$A$1:$B$12,2,0),1+COLUMN(C:C))</f>
        <v>43986</v>
      </c>
      <c r="J11" s="263">
        <f>DATE($S$8,VLOOKUP($P$8,[1]всяки!$A$1:$B$12,2,0),1+COLUMN(D:D))</f>
        <v>43987</v>
      </c>
      <c r="K11" s="263">
        <f>DATE($S$8,VLOOKUP($P$8,[1]всяки!$A$1:$B$12,2,0),1+COLUMN(E:E))</f>
        <v>43988</v>
      </c>
      <c r="L11" s="263">
        <f>DATE($S$8,VLOOKUP($P$8,[1]всяки!$A$1:$B$12,2,0),1+COLUMN(F:F))</f>
        <v>43989</v>
      </c>
      <c r="M11" s="263">
        <f>DATE($S$8,VLOOKUP($P$8,[1]всяки!$A$1:$B$12,2,0),1+COLUMN(G:G))</f>
        <v>43990</v>
      </c>
      <c r="N11" s="263">
        <f>DATE($S$8,VLOOKUP($P$8,[1]всяки!$A$1:$B$12,2,0),1+COLUMN(H:H))</f>
        <v>43991</v>
      </c>
      <c r="O11" s="263">
        <f>DATE($S$8,VLOOKUP($P$8,[1]всяки!$A$1:$B$12,2,0),1+COLUMN(I:I))</f>
        <v>43992</v>
      </c>
      <c r="P11" s="263">
        <f>DATE($S$8,VLOOKUP($P$8,[1]всяки!$A$1:$B$12,2,0),1+COLUMN(J:J))</f>
        <v>43993</v>
      </c>
      <c r="Q11" s="263">
        <f>DATE($S$8,VLOOKUP($P$8,[1]всяки!$A$1:$B$12,2,0),1+COLUMN(K:K))</f>
        <v>43994</v>
      </c>
      <c r="R11" s="263">
        <f>DATE($S$8,VLOOKUP($P$8,[1]всяки!$A$1:$B$12,2,0),1+COLUMN(L:L))</f>
        <v>43995</v>
      </c>
      <c r="S11" s="263">
        <f>DATE($S$8,VLOOKUP($P$8,[1]всяки!$A$1:$B$12,2,0),1+COLUMN(M:M))</f>
        <v>43996</v>
      </c>
      <c r="T11" s="263">
        <f>DATE($S$8,VLOOKUP($P$8,[1]всяки!$A$1:$B$12,2,0),1+COLUMN(N:N))</f>
        <v>43997</v>
      </c>
      <c r="U11" s="284" t="s">
        <v>62</v>
      </c>
      <c r="V11" s="286" t="s">
        <v>63</v>
      </c>
      <c r="W11" s="297" t="s">
        <v>64</v>
      </c>
      <c r="X11" s="296" t="s">
        <v>65</v>
      </c>
      <c r="Y11" s="297"/>
      <c r="Z11" s="297"/>
      <c r="AA11" s="297"/>
      <c r="AB11" s="297"/>
      <c r="AC11" s="298"/>
      <c r="AD11" s="247" t="s">
        <v>66</v>
      </c>
      <c r="AE11" s="250" t="s">
        <v>67</v>
      </c>
      <c r="AF11" s="253" t="s">
        <v>66</v>
      </c>
      <c r="AG11" s="254"/>
      <c r="AH11" s="293" t="s">
        <v>67</v>
      </c>
    </row>
    <row r="12" spans="2:37" ht="17.25" customHeight="1" x14ac:dyDescent="0.2">
      <c r="B12" s="266"/>
      <c r="C12" s="269"/>
      <c r="D12" s="272"/>
      <c r="E12" s="275"/>
      <c r="F12" s="292"/>
      <c r="G12" s="264"/>
      <c r="H12" s="264"/>
      <c r="I12" s="264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85"/>
      <c r="V12" s="287"/>
      <c r="W12" s="297"/>
      <c r="X12" s="296" t="s">
        <v>68</v>
      </c>
      <c r="Y12" s="297"/>
      <c r="Z12" s="297"/>
      <c r="AA12" s="297"/>
      <c r="AB12" s="297"/>
      <c r="AC12" s="298"/>
      <c r="AD12" s="248"/>
      <c r="AE12" s="251"/>
      <c r="AF12" s="255"/>
      <c r="AG12" s="256"/>
      <c r="AH12" s="294"/>
    </row>
    <row r="13" spans="2:37" ht="19.5" customHeight="1" x14ac:dyDescent="0.2">
      <c r="B13" s="266"/>
      <c r="C13" s="269"/>
      <c r="D13" s="272"/>
      <c r="E13" s="275"/>
      <c r="F13" s="291">
        <f>DATE($S$8,VLOOKUP($P$8,[1]всяки!$A$1:$B$12,2,0),16)</f>
        <v>43998</v>
      </c>
      <c r="G13" s="263">
        <f>DATE($S$8,VLOOKUP($P$8,[1]всяки!$A$1:$B$12,2,0),16+COLUMN(A:A))</f>
        <v>43999</v>
      </c>
      <c r="H13" s="263">
        <f>DATE($S$8,VLOOKUP($P$8,[1]всяки!$A$1:$B$12,2,0),16+COLUMN(B:B))</f>
        <v>44000</v>
      </c>
      <c r="I13" s="263">
        <f>DATE($S$8,VLOOKUP($P$8,[1]всяки!$A$1:$B$12,2,0),16+COLUMN(C:C))</f>
        <v>44001</v>
      </c>
      <c r="J13" s="263">
        <f>DATE($S$8,VLOOKUP($P$8,[1]всяки!$A$1:$B$12,2,0),16+COLUMN(D:D))</f>
        <v>44002</v>
      </c>
      <c r="K13" s="263">
        <f>DATE($S$8,VLOOKUP($P$8,[1]всяки!$A$1:$B$12,2,0),16+COLUMN(E:E))</f>
        <v>44003</v>
      </c>
      <c r="L13" s="263">
        <f>DATE($S$8,VLOOKUP($P$8,[1]всяки!$A$1:$B$12,2,0),16+COLUMN(F:F))</f>
        <v>44004</v>
      </c>
      <c r="M13" s="263">
        <f>DATE($S$8,VLOOKUP($P$8,[1]всяки!$A$1:$B$12,2,0),16+COLUMN(G:G))</f>
        <v>44005</v>
      </c>
      <c r="N13" s="263">
        <f>DATE($S$8,VLOOKUP($P$8,[1]всяки!$A$1:$B$12,2,0),16+COLUMN(H:H))</f>
        <v>44006</v>
      </c>
      <c r="O13" s="263">
        <f>DATE($S$8,VLOOKUP($P$8,[1]всяки!$A$1:$B$12,2,0),16+COLUMN(I:I))</f>
        <v>44007</v>
      </c>
      <c r="P13" s="263">
        <f>DATE($S$8,VLOOKUP($P$8,[1]всяки!$A$1:$B$12,2,0),16+COLUMN(J:J))</f>
        <v>44008</v>
      </c>
      <c r="Q13" s="263">
        <f>DATE($S$8,VLOOKUP($P$8,[1]всяки!$A$1:$B$12,2,0),16+COLUMN(K:K))</f>
        <v>44009</v>
      </c>
      <c r="R13" s="263">
        <f>DATE($S$8,VLOOKUP($P$8,[1]всяки!$A$1:$B$12,2,0),16+COLUMN(L:L))</f>
        <v>44010</v>
      </c>
      <c r="S13" s="263">
        <f>IF(DATE($S$8,VLOOKUP($P$8,[1]всяки!$A$1:$B$12,2,0),16+COLUMN(M:M))&gt;EOMONTH(DATE($S$8,VLOOKUP($P$8,[1]всяки!$A$1:$B$12,2,0),16),0),"",DATE($S$8,VLOOKUP($P$8,[1]всяки!$A$1:$B$12,2,0),16+COLUMN(M:M)))</f>
        <v>44011</v>
      </c>
      <c r="T13" s="263">
        <f>IF(DATE($S$8,VLOOKUP($P$8,[1]всяки!$A$1:$B$12,2,0),16+COLUMN(N:N))&gt;EOMONTH(DATE($S$8,VLOOKUP($P$8,[1]всяки!$A$1:$B$12,2,0),16),0),"",DATE($S$8,VLOOKUP($P$8,[1]всяки!$A$1:$B$12,2,0),16+COLUMN(N:N)))</f>
        <v>44012</v>
      </c>
      <c r="U13" s="263" t="str">
        <f>IF(DATE($S$8,VLOOKUP($P$8,[1]всяки!$A$1:$B$12,2,0),16+COLUMN(O:O))&gt;EOMONTH(DATE($S$8,VLOOKUP($P$8,[1]всяки!$A$1:$B$12,2,0),16),0),"",DATE($S$8,VLOOKUP($P$8,[1]всяки!$A$1:$B$12,2,0),16+COLUMN(O:O)))</f>
        <v/>
      </c>
      <c r="V13" s="282" t="s">
        <v>69</v>
      </c>
      <c r="W13" s="283"/>
      <c r="X13" s="259" t="s">
        <v>70</v>
      </c>
      <c r="Y13" s="261" t="s">
        <v>71</v>
      </c>
      <c r="Z13" s="250" t="s">
        <v>72</v>
      </c>
      <c r="AA13" s="259" t="s">
        <v>70</v>
      </c>
      <c r="AB13" s="261" t="s">
        <v>71</v>
      </c>
      <c r="AC13" s="250" t="s">
        <v>72</v>
      </c>
      <c r="AD13" s="248"/>
      <c r="AE13" s="251"/>
      <c r="AF13" s="255"/>
      <c r="AG13" s="256"/>
      <c r="AH13" s="294"/>
    </row>
    <row r="14" spans="2:37" ht="19.5" customHeight="1" x14ac:dyDescent="0.2">
      <c r="B14" s="267"/>
      <c r="C14" s="270"/>
      <c r="D14" s="273"/>
      <c r="E14" s="276"/>
      <c r="F14" s="292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82" t="s">
        <v>73</v>
      </c>
      <c r="W14" s="283"/>
      <c r="X14" s="260"/>
      <c r="Y14" s="262"/>
      <c r="Z14" s="251"/>
      <c r="AA14" s="260"/>
      <c r="AB14" s="262"/>
      <c r="AC14" s="251"/>
      <c r="AD14" s="249"/>
      <c r="AE14" s="252"/>
      <c r="AF14" s="257"/>
      <c r="AG14" s="258"/>
      <c r="AH14" s="295"/>
    </row>
    <row r="15" spans="2:37" s="85" customFormat="1" ht="14.25" customHeight="1" thickBot="1" x14ac:dyDescent="0.25">
      <c r="B15" s="101">
        <v>1</v>
      </c>
      <c r="C15" s="101">
        <v>2</v>
      </c>
      <c r="D15" s="103">
        <v>3</v>
      </c>
      <c r="E15" s="104"/>
      <c r="F15" s="232">
        <v>4</v>
      </c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4"/>
      <c r="V15" s="105">
        <v>5</v>
      </c>
      <c r="W15" s="106">
        <v>6</v>
      </c>
      <c r="X15" s="107">
        <v>7</v>
      </c>
      <c r="Y15" s="106">
        <v>8</v>
      </c>
      <c r="Z15" s="102">
        <v>9</v>
      </c>
      <c r="AA15" s="106">
        <v>7</v>
      </c>
      <c r="AB15" s="106">
        <v>8</v>
      </c>
      <c r="AC15" s="104">
        <v>9</v>
      </c>
      <c r="AD15" s="129">
        <v>10</v>
      </c>
      <c r="AE15" s="130">
        <v>11</v>
      </c>
      <c r="AF15" s="235">
        <v>12</v>
      </c>
      <c r="AG15" s="236"/>
      <c r="AH15" s="131">
        <v>13</v>
      </c>
      <c r="AI15" s="108"/>
      <c r="AJ15" s="109"/>
      <c r="AK15" s="109"/>
    </row>
    <row r="16" spans="2:37" ht="12.95" customHeight="1" x14ac:dyDescent="0.2">
      <c r="B16" s="215" t="s">
        <v>74</v>
      </c>
      <c r="C16" s="237">
        <f>График!B16</f>
        <v>0</v>
      </c>
      <c r="D16" s="237">
        <f>График!A16</f>
        <v>1904059</v>
      </c>
      <c r="E16" s="240" t="s">
        <v>74</v>
      </c>
      <c r="F16" s="177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64" t="s">
        <v>75</v>
      </c>
      <c r="V16" s="170">
        <f>COUNTIF(F16:U16,"Я")*1+COUNTIF(F16:U16,"РВ")*1</f>
        <v>0</v>
      </c>
      <c r="W16" s="243">
        <f>SUM(V18,V16)</f>
        <v>0</v>
      </c>
      <c r="X16" s="133">
        <v>1040</v>
      </c>
      <c r="Y16" s="134"/>
      <c r="Z16" s="135">
        <f>V17</f>
        <v>0</v>
      </c>
      <c r="AA16" s="135"/>
      <c r="AB16" s="134"/>
      <c r="AC16" s="136"/>
      <c r="AD16" s="132" t="str">
        <f>IF(SUMPRODUCT(--ISNUMBER(SEARCH("ОД",F13:U16)))&gt;0,"ОД","")</f>
        <v/>
      </c>
      <c r="AE16" s="137" t="str">
        <f t="array" ref="AE16">IF(AD16="","",SUMPRODUCT(($F$16:$U$19=AD16)*(IFERROR(WEEKDAY($F$11:$U$14,2),7)&lt;6)*(ISNA(MATCH($F$11:$U$14,празд,0))))&amp;"("&amp;SUMPRODUCT(($F$16:$U$19=AD16)*(IFERROR(WEEKDAY($F$11:$U$14,2),7)&lt;6)*(ISNA(MATCH($F$11:$U$14,празд,0))))*8&amp;")")</f>
        <v/>
      </c>
      <c r="AF16" s="226" t="str">
        <f>IF(SUMPRODUCT(--ISNUMBER(SEARCH("К",F16:U19)))&gt;0,"К","")</f>
        <v/>
      </c>
      <c r="AG16" s="226"/>
      <c r="AH16" s="126" t="str">
        <f t="array" ref="AH16">IF(AF16="","",SUMPRODUCT(($F$16:$U$19=AF16)*(IFERROR(WEEKDAY($F$11:$U$14,2),7)&lt;6)*(ISNA(MATCH($F$11:$U$14,празд,0))))&amp;"("&amp;SUMPRODUCT(($F$16:$U$19=AF16)*(IFERROR(WEEKDAY($F$11:$U$14,2),7)&lt;6)*(ISNA(MATCH($F$11:$U$14,празд,0))))*8&amp;")")</f>
        <v/>
      </c>
      <c r="AI16" s="92"/>
      <c r="AJ16" s="92"/>
    </row>
    <row r="17" spans="2:36" ht="12.95" customHeight="1" x14ac:dyDescent="0.2">
      <c r="B17" s="216"/>
      <c r="C17" s="238"/>
      <c r="D17" s="238"/>
      <c r="E17" s="241"/>
      <c r="F17" s="179"/>
      <c r="G17" s="138"/>
      <c r="H17" s="138"/>
      <c r="I17" s="138"/>
      <c r="J17" s="138"/>
      <c r="K17" s="138"/>
      <c r="L17" s="139"/>
      <c r="M17" s="139"/>
      <c r="N17" s="139"/>
      <c r="O17" s="138"/>
      <c r="P17" s="139"/>
      <c r="Q17" s="139"/>
      <c r="R17" s="139"/>
      <c r="S17" s="139"/>
      <c r="T17" s="139"/>
      <c r="U17" s="166" t="s">
        <v>75</v>
      </c>
      <c r="V17" s="171">
        <f>SUM(F17:U17)</f>
        <v>0</v>
      </c>
      <c r="W17" s="244"/>
      <c r="X17" s="141"/>
      <c r="Y17" s="142"/>
      <c r="Z17" s="143"/>
      <c r="AA17" s="142"/>
      <c r="AB17" s="142"/>
      <c r="AC17" s="144"/>
      <c r="AD17" s="145" t="str">
        <f>IF(SUMPRODUCT(--ISNUMBER(SEARCH("ОТ",F16:U19)))&gt;0,"ОТ","")</f>
        <v/>
      </c>
      <c r="AE17" s="146" t="str">
        <f t="array" ref="AE17">IF(AD17="","",SUMPRODUCT(($F$16:$U$19=AD17)*(IFERROR(WEEKDAY($F$11:$U$14,2),7)&lt;6)*(ISNA(MATCH($F$11:$U$14,празд,0))))&amp;"("&amp;SUMPRODUCT(($F$16:$U$19=AD17)*(IFERROR(WEEKDAY($F$11:$U$14,2),7)&lt;6)*(ISNA(MATCH($F$11:$U$14,празд,0))))*8&amp;")")</f>
        <v/>
      </c>
      <c r="AF17" s="227"/>
      <c r="AG17" s="227"/>
      <c r="AH17" s="127" t="str">
        <f>IF(AF17="","",COUNTIF(F16:U19,AF17))</f>
        <v/>
      </c>
      <c r="AI17" s="93"/>
      <c r="AJ17" s="93"/>
    </row>
    <row r="18" spans="2:36" ht="12.95" customHeight="1" x14ac:dyDescent="0.2">
      <c r="B18" s="216"/>
      <c r="C18" s="238" t="str">
        <f>График!C16</f>
        <v>Инженер</v>
      </c>
      <c r="D18" s="238"/>
      <c r="E18" s="241"/>
      <c r="F18" s="179"/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72">
        <f>COUNTIF(F18:U18,"Я")*1+COUNTIF(F18:U18,"РВ")*1</f>
        <v>0</v>
      </c>
      <c r="W18" s="245">
        <f>SUM(V19,V17)</f>
        <v>0</v>
      </c>
      <c r="X18" s="141"/>
      <c r="Y18" s="142"/>
      <c r="Z18" s="143"/>
      <c r="AA18" s="142"/>
      <c r="AB18" s="142"/>
      <c r="AC18" s="144"/>
      <c r="AD18" s="145" t="str">
        <f>IF(SUMPRODUCT(--ISNUMBER(SEARCH("б",F16:U19)))&gt;0,"Б","")</f>
        <v/>
      </c>
      <c r="AE18" s="146" t="str">
        <f t="array" ref="AE18">IF(AD18="","",SUMPRODUCT(($F$16:$U$19=AD18)*(IFERROR(WEEKDAY($F$11:$U$14,2),7)&lt;6)*(ISNA(MATCH($F$11:$U$14,празд,0))))&amp;"("&amp;SUMPRODUCT(($F$16:$U$19=AD18)*(IFERROR(WEEKDAY($F$11:$U$14,2),7)&lt;6)*(ISNA(MATCH($F$11:$U$14,празд,0))))*8&amp;")")</f>
        <v/>
      </c>
      <c r="AF18" s="230"/>
      <c r="AG18" s="230"/>
      <c r="AH18" s="125"/>
      <c r="AI18" s="93"/>
      <c r="AJ18" s="93"/>
    </row>
    <row r="19" spans="2:36" ht="12.95" customHeight="1" thickBot="1" x14ac:dyDescent="0.25">
      <c r="B19" s="217"/>
      <c r="C19" s="239"/>
      <c r="D19" s="239"/>
      <c r="E19" s="242"/>
      <c r="F19" s="180"/>
      <c r="G19" s="181"/>
      <c r="H19" s="181"/>
      <c r="I19" s="181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3"/>
      <c r="V19" s="173">
        <f>SUM(F19:U19)</f>
        <v>0</v>
      </c>
      <c r="W19" s="246"/>
      <c r="X19" s="148"/>
      <c r="Y19" s="149"/>
      <c r="Z19" s="150"/>
      <c r="AA19" s="149"/>
      <c r="AB19" s="149"/>
      <c r="AC19" s="151"/>
      <c r="AD19" s="147"/>
      <c r="AE19" s="152"/>
      <c r="AF19" s="231"/>
      <c r="AG19" s="231"/>
      <c r="AH19" s="128"/>
      <c r="AI19" s="93"/>
      <c r="AJ19" s="93"/>
    </row>
    <row r="20" spans="2:36" ht="12.95" customHeight="1" x14ac:dyDescent="0.2">
      <c r="B20" s="215" t="s">
        <v>79</v>
      </c>
      <c r="C20" s="237">
        <f>График!B9</f>
        <v>0</v>
      </c>
      <c r="D20" s="237">
        <f>График!A9</f>
        <v>1904068</v>
      </c>
      <c r="E20" s="306" t="s">
        <v>74</v>
      </c>
      <c r="F20" s="174"/>
      <c r="G20" s="174"/>
      <c r="H20" s="174"/>
      <c r="I20" s="174"/>
      <c r="J20" s="175"/>
      <c r="K20" s="175"/>
      <c r="L20" s="175"/>
      <c r="M20" s="175"/>
      <c r="N20" s="175"/>
      <c r="O20" s="175"/>
      <c r="P20" s="175"/>
      <c r="Q20" s="175"/>
      <c r="R20" s="175"/>
      <c r="S20" s="175"/>
      <c r="T20" s="175"/>
      <c r="U20" s="176" t="s">
        <v>75</v>
      </c>
      <c r="V20" s="132">
        <f>COUNTIF(F20:U20,"Я")*1+COUNTIF(F20:U20,"РВ")*1</f>
        <v>0</v>
      </c>
      <c r="W20" s="243">
        <f>SUM(V22,V20)</f>
        <v>0</v>
      </c>
      <c r="X20" s="133"/>
      <c r="Y20" s="134"/>
      <c r="Z20" s="135"/>
      <c r="AA20" s="135"/>
      <c r="AB20" s="134"/>
      <c r="AC20" s="136"/>
      <c r="AD20" s="132" t="str">
        <f>IF(SUMPRODUCT(--ISNUMBER(SEARCH("В",F20:U23)))&gt;0,"В","")</f>
        <v/>
      </c>
      <c r="AE20" s="137" t="str">
        <f>IF(AD20="","",COUNTIF(F20:U23,AD20))&amp;"("&amp;IF(AD20="","",COUNTIF(F20:U23,"в")*8)&amp;")"</f>
        <v>()</v>
      </c>
      <c r="AF20" s="226" t="str">
        <f>IF(SUMPRODUCT(--ISNUMBER(SEARCH("К",F20:U23)))&gt;0,"К","")</f>
        <v/>
      </c>
      <c r="AG20" s="226"/>
      <c r="AH20" s="126" t="str">
        <f t="array" ref="AH20">IF(AF20="","",SUMPRODUCT(($F$16:$U$19=AF20)*(IFERROR(WEEKDAY($F$11:$U$14,2),7)&lt;6)*(ISNA(MATCH($F$11:$U$14,празд,0))))&amp;"("&amp;SUMPRODUCT(($F$16:$U$19=AF20)*(IFERROR(WEEKDAY($F$11:$U$14,2),7)&lt;6)*(ISNA(MATCH($F$11:$U$14,празд,0))))*8&amp;")")</f>
        <v/>
      </c>
      <c r="AI20" s="92"/>
      <c r="AJ20" s="92"/>
    </row>
    <row r="21" spans="2:36" ht="12.95" customHeight="1" x14ac:dyDescent="0.2">
      <c r="B21" s="216"/>
      <c r="C21" s="238"/>
      <c r="D21" s="238"/>
      <c r="E21" s="307"/>
      <c r="F21" s="156"/>
      <c r="G21" s="156"/>
      <c r="H21" s="156"/>
      <c r="I21" s="156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8" t="s">
        <v>75</v>
      </c>
      <c r="V21" s="140">
        <f>SUM(F21:U21)</f>
        <v>0</v>
      </c>
      <c r="W21" s="244"/>
      <c r="X21" s="141"/>
      <c r="Y21" s="142"/>
      <c r="Z21" s="143"/>
      <c r="AA21" s="142"/>
      <c r="AB21" s="142"/>
      <c r="AC21" s="144"/>
      <c r="AD21" s="145" t="str">
        <f>IF(SUMPRODUCT(--ISNUMBER(SEARCH("ОТ",F20:U23)))&gt;0,"ОТ","")</f>
        <v/>
      </c>
      <c r="AE21" s="146" t="str">
        <f t="array" ref="AE21">IF(AD21="","",SUMPRODUCT(($F$16:$U$19=AD21)*(IFERROR(WEEKDAY($F$11:$U$14,2),7)&lt;6)*(ISNA(MATCH($F$11:$U$14,празд,0))))&amp;"("&amp;SUMPRODUCT(($F$16:$U$19=AD21)*(IFERROR(WEEKDAY($F$11:$U$14,2),7)&lt;6)*(ISNA(MATCH($F$11:$U$14,празд,0))))*8&amp;")")</f>
        <v/>
      </c>
      <c r="AF21" s="227"/>
      <c r="AG21" s="227"/>
      <c r="AH21" s="127" t="str">
        <f>IF(AF21="","",COUNTIF(F20:U23,AF21))</f>
        <v/>
      </c>
      <c r="AI21" s="93"/>
      <c r="AJ21" s="93"/>
    </row>
    <row r="22" spans="2:36" ht="12.95" customHeight="1" x14ac:dyDescent="0.2">
      <c r="B22" s="216"/>
      <c r="C22" s="238" t="str">
        <f>График!C9</f>
        <v>Инженер</v>
      </c>
      <c r="D22" s="238"/>
      <c r="E22" s="307"/>
      <c r="F22" s="156"/>
      <c r="G22" s="156"/>
      <c r="H22" s="156"/>
      <c r="I22" s="156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9" t="str">
        <f>IF(U$13="","",IF(AND(U$13&gt;=$AI22,U$13&lt;=$AJ22)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22" s="145">
        <f>COUNTIF(F22:U22,"Я")*1+COUNTIF(F22:U22,"РВ")*1</f>
        <v>0</v>
      </c>
      <c r="W22" s="245">
        <f>SUM(V23,V21)</f>
        <v>0</v>
      </c>
      <c r="X22" s="141"/>
      <c r="Y22" s="142"/>
      <c r="Z22" s="143"/>
      <c r="AA22" s="142"/>
      <c r="AB22" s="142"/>
      <c r="AC22" s="144"/>
      <c r="AD22" s="145" t="str">
        <f>IF(SUMPRODUCT(--ISNUMBER(SEARCH("б",F20:U23)))&gt;0,"Б","")</f>
        <v/>
      </c>
      <c r="AE22" s="146" t="str">
        <f t="array" ref="AE22">IF(AD22="","",SUMPRODUCT(($F$16:$U$19=AD22)*(IFERROR(WEEKDAY($F$11:$U$14,2),7)&lt;6)*(ISNA(MATCH($F$11:$U$14,празд,0))))&amp;"("&amp;SUMPRODUCT(($F$16:$U$19=AD22)*(IFERROR(WEEKDAY($F$11:$U$14,2),7)&lt;6)*(ISNA(MATCH($F$11:$U$14,празд,0))))*8&amp;")")</f>
        <v/>
      </c>
      <c r="AF22" s="230"/>
      <c r="AG22" s="230"/>
      <c r="AH22" s="125"/>
      <c r="AI22" s="93"/>
      <c r="AJ22" s="93"/>
    </row>
    <row r="23" spans="2:36" ht="12.95" customHeight="1" thickBot="1" x14ac:dyDescent="0.25">
      <c r="B23" s="217"/>
      <c r="C23" s="239"/>
      <c r="D23" s="239"/>
      <c r="E23" s="308"/>
      <c r="F23" s="160"/>
      <c r="G23" s="160"/>
      <c r="H23" s="160"/>
      <c r="I23" s="160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2" t="str">
        <f>IF(U22="Я",(IF(U$13="","",IF(AND(U$13&gt;=$AI23,U$13&lt;=$AJ23),"Р",IF(NOT(ISERROR(VLOOKUP(U$13,предпр,1,0)=U$13)),$E20*8-1,IF(NOT(ISERROR(VLOOKUP(U$13,выхрабд,1,0)=U$13)),$E20*8,IF(OR(WEEKDAY(U$13,2)&gt;5,ISNUMBER(MATCH(U$13,празд,0)),SUMPRODUCT(1*(U$13=допнер))),"",IF(WEEKDAY(U$13,2)&lt;6,$E20*8))))))),"")</f>
        <v/>
      </c>
      <c r="V23" s="147">
        <f>SUM(F23:U23)</f>
        <v>0</v>
      </c>
      <c r="W23" s="246"/>
      <c r="X23" s="148"/>
      <c r="Y23" s="149"/>
      <c r="Z23" s="150"/>
      <c r="AA23" s="149"/>
      <c r="AB23" s="149"/>
      <c r="AC23" s="151"/>
      <c r="AD23" s="147" t="str">
        <f>IF(SUMPRODUCT(--ISNUMBER(SEARCH("ОД",F20:U23)))&gt;0,"ОД","")</f>
        <v/>
      </c>
      <c r="AE23" s="152" t="str">
        <f t="array" ref="AE23">IF(AD23="","",SUMPRODUCT(($F$16:$U$19=AD23)*(IFERROR(WEEKDAY($F$11:$U$14,2),7)&lt;6)*(ISNA(MATCH($F$11:$U$14,празд,0))))&amp;"("&amp;SUMPRODUCT(($F$16:$U$19=AD23)*(IFERROR(WEEKDAY($F$11:$U$14,2),7)&lt;6)*(ISNA(MATCH($F$11:$U$14,празд,0))))*8&amp;")")</f>
        <v/>
      </c>
      <c r="AF23" s="231"/>
      <c r="AG23" s="231"/>
      <c r="AH23" s="128"/>
      <c r="AI23" s="93"/>
      <c r="AJ23" s="93"/>
    </row>
    <row r="24" spans="2:36" ht="12.95" customHeight="1" x14ac:dyDescent="0.2">
      <c r="B24" s="215" t="s">
        <v>80</v>
      </c>
      <c r="C24" s="237">
        <f>График!B19</f>
        <v>0</v>
      </c>
      <c r="D24" s="237">
        <f>График!A19</f>
        <v>1915704</v>
      </c>
      <c r="E24" s="306" t="s">
        <v>74</v>
      </c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5" t="s">
        <v>75</v>
      </c>
      <c r="V24" s="132">
        <f>COUNTIF(F24:U24,"ВМ")*1+COUNTIF(F24:U24,"РВ")*1</f>
        <v>0</v>
      </c>
      <c r="W24" s="243">
        <f>SUM(V26,V24)</f>
        <v>0</v>
      </c>
      <c r="X24" s="133"/>
      <c r="Y24" s="134"/>
      <c r="Z24" s="135">
        <f>V25</f>
        <v>0</v>
      </c>
      <c r="AA24" s="135"/>
      <c r="AB24" s="134"/>
      <c r="AC24" s="136"/>
      <c r="AD24" s="132" t="str">
        <f>IF(SUMPRODUCT(--ISNUMBER(SEARCH("ОД",F21:U24)))&gt;0,"ОД","")</f>
        <v/>
      </c>
      <c r="AE24" s="137" t="str">
        <f t="array" ref="AE24">IF(AD24="","",SUMPRODUCT(($F$16:$U$19=AD24)*(IFERROR(WEEKDAY($F$11:$U$14,2),7)&lt;6)*(ISNA(MATCH($F$11:$U$14,празд,0))))&amp;"("&amp;SUMPRODUCT(($F$16:$U$19=AD24)*(IFERROR(WEEKDAY($F$11:$U$14,2),7)&lt;6)*(ISNA(MATCH($F$11:$U$14,празд,0))))*8&amp;")")</f>
        <v/>
      </c>
      <c r="AF24" s="226" t="str">
        <f>IF(SUMPRODUCT(--ISNUMBER(SEARCH("К",F24:U27)))&gt;0,"К","")</f>
        <v/>
      </c>
      <c r="AG24" s="226"/>
      <c r="AH24" s="126" t="str">
        <f t="array" ref="AH24">IF(AF24="","",SUMPRODUCT(($F$16:$U$19=AF24)*(IFERROR(WEEKDAY($F$11:$U$14,2),7)&lt;6)*(ISNA(MATCH($F$11:$U$14,празд,0))))&amp;"("&amp;SUMPRODUCT(($F$16:$U$19=AF24)*(IFERROR(WEEKDAY($F$11:$U$14,2),7)&lt;6)*(ISNA(MATCH($F$11:$U$14,празд,0))))*8&amp;")")</f>
        <v/>
      </c>
      <c r="AI24" s="92"/>
      <c r="AJ24" s="92"/>
    </row>
    <row r="25" spans="2:36" ht="12.95" customHeight="1" x14ac:dyDescent="0.2">
      <c r="B25" s="216"/>
      <c r="C25" s="238"/>
      <c r="D25" s="238"/>
      <c r="E25" s="307"/>
      <c r="F25" s="156"/>
      <c r="G25" s="156"/>
      <c r="H25" s="156"/>
      <c r="I25" s="156"/>
      <c r="J25" s="156"/>
      <c r="K25" s="156"/>
      <c r="L25" s="156"/>
      <c r="M25" s="156"/>
      <c r="N25" s="156"/>
      <c r="O25" s="157"/>
      <c r="P25" s="157"/>
      <c r="Q25" s="157"/>
      <c r="R25" s="157"/>
      <c r="S25" s="157"/>
      <c r="T25" s="157"/>
      <c r="U25" s="158" t="s">
        <v>75</v>
      </c>
      <c r="V25" s="140">
        <f>SUM(F25:U25)</f>
        <v>0</v>
      </c>
      <c r="W25" s="244"/>
      <c r="X25" s="141"/>
      <c r="Y25" s="142"/>
      <c r="Z25" s="143"/>
      <c r="AA25" s="142"/>
      <c r="AB25" s="142"/>
      <c r="AC25" s="144"/>
      <c r="AD25" s="145" t="str">
        <f>IF(SUMPRODUCT(--ISNUMBER(SEARCH("ОТ",F24:U27)))&gt;0,"ОТ","")</f>
        <v/>
      </c>
      <c r="AE25" s="146" t="str">
        <f t="array" ref="AE25">IF(AD25="","",SUMPRODUCT(($F$16:$U$19=AD25)*(IFERROR(WEEKDAY($F$11:$U$14,2),7)&lt;6)*(ISNA(MATCH($F$11:$U$14,празд,0))))&amp;"("&amp;SUMPRODUCT(($F$16:$U$19=AD25)*(IFERROR(WEEKDAY($F$11:$U$14,2),7)&lt;6)*(ISNA(MATCH($F$11:$U$14,празд,0))))*8&amp;")")</f>
        <v/>
      </c>
      <c r="AF25" s="227"/>
      <c r="AG25" s="227"/>
      <c r="AH25" s="127" t="str">
        <f>IF(AF25="","",COUNTIF(F24:U27,AF25))</f>
        <v/>
      </c>
      <c r="AI25" s="93"/>
      <c r="AJ25" s="93"/>
    </row>
    <row r="26" spans="2:36" ht="12.95" customHeight="1" x14ac:dyDescent="0.2">
      <c r="B26" s="216"/>
      <c r="C26" s="238" t="str">
        <f>График!C19</f>
        <v>Электромеханик</v>
      </c>
      <c r="D26" s="238"/>
      <c r="E26" s="307"/>
      <c r="F26" s="156"/>
      <c r="G26" s="156"/>
      <c r="H26" s="156"/>
      <c r="I26" s="156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45">
        <f>COUNTIF(F26:U26,"Я")*1+COUNTIF(F26:U26,"РВ")*1</f>
        <v>0</v>
      </c>
      <c r="W26" s="245">
        <f>SUM(V27,V25)</f>
        <v>0</v>
      </c>
      <c r="X26" s="141"/>
      <c r="Y26" s="142"/>
      <c r="Z26" s="143"/>
      <c r="AA26" s="142"/>
      <c r="AB26" s="142"/>
      <c r="AC26" s="144"/>
      <c r="AD26" s="145" t="str">
        <f>IF(SUMPRODUCT(--ISNUMBER(SEARCH("б",F24:U27)))&gt;0,"Б","")</f>
        <v/>
      </c>
      <c r="AE26" s="146" t="str">
        <f t="array" ref="AE26">IF(AD26="","",SUMPRODUCT(($F$16:$U$19=AD26)*(IFERROR(WEEKDAY($F$11:$U$14,2),7)&lt;6)*(ISNA(MATCH($F$11:$U$14,празд,0))))&amp;"("&amp;SUMPRODUCT(($F$16:$U$19=AD26)*(IFERROR(WEEKDAY($F$11:$U$14,2),7)&lt;6)*(ISNA(MATCH($F$11:$U$14,празд,0))))*8&amp;")")</f>
        <v/>
      </c>
      <c r="AF26" s="230"/>
      <c r="AG26" s="230"/>
      <c r="AH26" s="125"/>
      <c r="AI26" s="93"/>
      <c r="AJ26" s="93"/>
    </row>
    <row r="27" spans="2:36" ht="12.95" customHeight="1" thickBot="1" x14ac:dyDescent="0.25">
      <c r="B27" s="217"/>
      <c r="C27" s="239"/>
      <c r="D27" s="239"/>
      <c r="E27" s="308"/>
      <c r="F27" s="160"/>
      <c r="G27" s="160"/>
      <c r="H27" s="160"/>
      <c r="I27" s="160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2"/>
      <c r="V27" s="147">
        <f>SUM(F27:U27)</f>
        <v>0</v>
      </c>
      <c r="W27" s="246"/>
      <c r="X27" s="148"/>
      <c r="Y27" s="149"/>
      <c r="Z27" s="150"/>
      <c r="AA27" s="149"/>
      <c r="AB27" s="149"/>
      <c r="AC27" s="151"/>
      <c r="AD27" s="147" t="str">
        <f>IF(SUMPRODUCT(--ISNUMBER(SEARCH("ОД",F24:U27)))&gt;0,"ОД","")</f>
        <v/>
      </c>
      <c r="AE27" s="152" t="str">
        <f t="array" ref="AE27">IF(AD27="","",SUMPRODUCT(($F$16:$U$19=AD27)*(IFERROR(WEEKDAY($F$11:$U$14,2),7)&lt;6)*(ISNA(MATCH($F$11:$U$14,празд,0))))&amp;"("&amp;SUMPRODUCT(($F$16:$U$19=AD27)*(IFERROR(WEEKDAY($F$11:$U$14,2),7)&lt;6)*(ISNA(MATCH($F$11:$U$14,празд,0))))*8&amp;")")</f>
        <v/>
      </c>
      <c r="AF27" s="231"/>
      <c r="AG27" s="231"/>
      <c r="AH27" s="128"/>
      <c r="AI27" s="93"/>
      <c r="AJ27" s="93"/>
    </row>
    <row r="28" spans="2:36" ht="12.95" customHeight="1" x14ac:dyDescent="0.2">
      <c r="B28" s="215" t="s">
        <v>81</v>
      </c>
      <c r="C28" s="237">
        <f>График!B10</f>
        <v>0</v>
      </c>
      <c r="D28" s="237">
        <f>График!A10</f>
        <v>1915436</v>
      </c>
      <c r="E28" s="306" t="s">
        <v>74</v>
      </c>
      <c r="F28" s="190"/>
      <c r="G28" s="190"/>
      <c r="H28" s="190"/>
      <c r="I28" s="190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2" t="s">
        <v>62</v>
      </c>
      <c r="V28" s="132">
        <f>COUNTIF(F28:U28,"Я")*1+COUNTIF(F28:U28,"РВ")*1</f>
        <v>0</v>
      </c>
      <c r="W28" s="243">
        <f>SUM(V30,V28)</f>
        <v>0</v>
      </c>
      <c r="X28" s="133"/>
      <c r="Y28" s="134"/>
      <c r="Z28" s="135"/>
      <c r="AA28" s="135"/>
      <c r="AB28" s="134"/>
      <c r="AC28" s="136"/>
      <c r="AD28" s="132" t="str">
        <f>IF(SUMPRODUCT(--ISNUMBER(SEARCH("ОД",F25:U28)))&gt;0,"ОД","")</f>
        <v/>
      </c>
      <c r="AE28" s="137" t="str">
        <f t="array" ref="AE28">IF(AD28="","",SUMPRODUCT(($F$16:$U$19=AD28)*(IFERROR(WEEKDAY($F$11:$U$14,2),7)&lt;6)*(ISNA(MATCH($F$11:$U$14,празд,0))))&amp;"("&amp;SUMPRODUCT(($F$16:$U$19=AD28)*(IFERROR(WEEKDAY($F$11:$U$14,2),7)&lt;6)*(ISNA(MATCH($F$11:$U$14,празд,0))))*8&amp;")")</f>
        <v/>
      </c>
      <c r="AF28" s="226" t="str">
        <f>IF(SUMPRODUCT(--ISNUMBER(SEARCH("К",F28:U31)))&gt;0,"К","")</f>
        <v/>
      </c>
      <c r="AG28" s="226"/>
      <c r="AH28" s="126" t="str">
        <f t="array" ref="AH28">IF(AF28="","",SUMPRODUCT(($F$16:$U$19=AF28)*(IFERROR(WEEKDAY($F$11:$U$14,2),7)&lt;6)*(ISNA(MATCH($F$11:$U$14,празд,0))))&amp;"("&amp;SUMPRODUCT(($F$16:$U$19=AF28)*(IFERROR(WEEKDAY($F$11:$U$14,2),7)&lt;6)*(ISNA(MATCH($F$11:$U$14,празд,0))))*8&amp;")")</f>
        <v/>
      </c>
      <c r="AI28" s="92"/>
      <c r="AJ28" s="92"/>
    </row>
    <row r="29" spans="2:36" ht="12.95" customHeight="1" x14ac:dyDescent="0.2">
      <c r="B29" s="216"/>
      <c r="C29" s="238"/>
      <c r="D29" s="238"/>
      <c r="E29" s="307"/>
      <c r="F29" s="193"/>
      <c r="G29" s="193"/>
      <c r="H29" s="193"/>
      <c r="I29" s="193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5" t="s">
        <v>62</v>
      </c>
      <c r="V29" s="140">
        <f>SUM(F29:U29)</f>
        <v>0</v>
      </c>
      <c r="W29" s="244"/>
      <c r="X29" s="141"/>
      <c r="Y29" s="142"/>
      <c r="Z29" s="143"/>
      <c r="AA29" s="142"/>
      <c r="AB29" s="142"/>
      <c r="AC29" s="144"/>
      <c r="AD29" s="145" t="str">
        <f>IF(SUMPRODUCT(--ISNUMBER(SEARCH("ОТ",F28:U31)))&gt;0,"ОТ","")</f>
        <v/>
      </c>
      <c r="AE29" s="146" t="str">
        <f t="array" ref="AE29">IF(AD29="","",SUMPRODUCT(($F$16:$U$19=AD29)*(IFERROR(WEEKDAY($F$11:$U$14,2),7)&lt;6)*(ISNA(MATCH($F$11:$U$14,празд,0))))&amp;"("&amp;SUMPRODUCT(($F$16:$U$19=AD29)*(IFERROR(WEEKDAY($F$11:$U$14,2),7)&lt;6)*(ISNA(MATCH($F$11:$U$14,празд,0))))*8&amp;")")</f>
        <v/>
      </c>
      <c r="AF29" s="227"/>
      <c r="AG29" s="227"/>
      <c r="AH29" s="127" t="str">
        <f>IF(AF29="","",COUNTIF(F28:U31,AF29))</f>
        <v/>
      </c>
      <c r="AI29" s="93"/>
      <c r="AJ29" s="93"/>
    </row>
    <row r="30" spans="2:36" ht="12.95" customHeight="1" x14ac:dyDescent="0.2">
      <c r="B30" s="216"/>
      <c r="C30" s="238" t="str">
        <f>График!C10</f>
        <v>Электромеханик</v>
      </c>
      <c r="D30" s="238"/>
      <c r="E30" s="307"/>
      <c r="F30" s="193"/>
      <c r="G30" s="193"/>
      <c r="H30" s="193"/>
      <c r="I30" s="193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6" t="str">
        <f t="shared" ref="U30" si="0">IF($U$2=1,"",IF(AND(ISNUMBER(U31),U10&lt;6,U10&gt;0),IF(AND(VALUE(U31)&lt;=8,VALUE(U31)&gt;0),"Я","Я"&amp;"/"&amp;"С"),IF(AND(ISNUMBER(U31),U10&lt;9,U10&gt;5),"РВ",IF(U31&lt;&gt;"",UPPER(U31),""))))</f>
        <v/>
      </c>
      <c r="V30" s="145">
        <f>COUNTIF(F30:U30,"Я")*1+COUNTIF(F30:U30,"РВ")*1</f>
        <v>0</v>
      </c>
      <c r="W30" s="245">
        <f>SUM(V31,V29)</f>
        <v>0</v>
      </c>
      <c r="X30" s="141"/>
      <c r="Y30" s="142"/>
      <c r="Z30" s="143"/>
      <c r="AA30" s="142"/>
      <c r="AB30" s="142"/>
      <c r="AC30" s="144"/>
      <c r="AD30" s="145" t="str">
        <f>IF(SUMPRODUCT(--ISNUMBER(SEARCH("б",F28:U31)))&gt;0,"Б","")</f>
        <v/>
      </c>
      <c r="AE30" s="146" t="str">
        <f t="array" ref="AE30">IF(AD30="","",SUMPRODUCT(($F$16:$U$19=AD30)*(IFERROR(WEEKDAY($F$11:$U$14,2),7)&lt;6)*(ISNA(MATCH($F$11:$U$14,празд,0))))&amp;"("&amp;SUMPRODUCT(($F$16:$U$19=AD30)*(IFERROR(WEEKDAY($F$11:$U$14,2),7)&lt;6)*(ISNA(MATCH($F$11:$U$14,празд,0))))*8&amp;")")</f>
        <v/>
      </c>
      <c r="AF30" s="230"/>
      <c r="AG30" s="230"/>
      <c r="AH30" s="125"/>
      <c r="AI30" s="93"/>
      <c r="AJ30" s="93"/>
    </row>
    <row r="31" spans="2:36" ht="12.95" customHeight="1" thickBot="1" x14ac:dyDescent="0.25">
      <c r="B31" s="217"/>
      <c r="C31" s="239"/>
      <c r="D31" s="239"/>
      <c r="E31" s="308"/>
      <c r="F31" s="197"/>
      <c r="G31" s="197"/>
      <c r="H31" s="197"/>
      <c r="I31" s="197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9"/>
      <c r="V31" s="147">
        <f>SUM(F31:U31)</f>
        <v>0</v>
      </c>
      <c r="W31" s="246"/>
      <c r="X31" s="148"/>
      <c r="Y31" s="149"/>
      <c r="Z31" s="150"/>
      <c r="AA31" s="149"/>
      <c r="AB31" s="149"/>
      <c r="AC31" s="151"/>
      <c r="AD31" s="147" t="str">
        <f>IF(SUMPRODUCT(--ISNUMBER(SEARCH("ОД",F28:U31)))&gt;0,"ОД","")</f>
        <v/>
      </c>
      <c r="AE31" s="152" t="str">
        <f t="array" ref="AE31">IF(AD31="","",SUMPRODUCT(($F$16:$U$19=AD31)*(IFERROR(WEEKDAY($F$11:$U$14,2),7)&lt;6)*(ISNA(MATCH($F$11:$U$14,празд,0))))&amp;"("&amp;SUMPRODUCT(($F$16:$U$19=AD31)*(IFERROR(WEEKDAY($F$11:$U$14,2),7)&lt;6)*(ISNA(MATCH($F$11:$U$14,празд,0))))*8&amp;")")</f>
        <v/>
      </c>
      <c r="AF31" s="231"/>
      <c r="AG31" s="231"/>
      <c r="AH31" s="128"/>
      <c r="AI31" s="93"/>
      <c r="AJ31" s="93"/>
    </row>
    <row r="32" spans="2:36" ht="12.95" customHeight="1" x14ac:dyDescent="0.2">
      <c r="B32" s="309" t="s">
        <v>82</v>
      </c>
      <c r="C32" s="237">
        <f>График!B22</f>
        <v>0</v>
      </c>
      <c r="D32" s="237">
        <f>График!A22</f>
        <v>1912037</v>
      </c>
      <c r="E32" s="306" t="s">
        <v>74</v>
      </c>
      <c r="F32" s="153"/>
      <c r="G32" s="153"/>
      <c r="H32" s="153"/>
      <c r="I32" s="153"/>
      <c r="J32" s="154"/>
      <c r="K32" s="154"/>
      <c r="L32" s="200"/>
      <c r="M32" s="154"/>
      <c r="N32" s="154"/>
      <c r="O32" s="154"/>
      <c r="P32" s="154"/>
      <c r="Q32" s="154"/>
      <c r="R32" s="154"/>
      <c r="S32" s="154"/>
      <c r="T32" s="154"/>
      <c r="U32" s="155" t="s">
        <v>75</v>
      </c>
      <c r="V32" s="132">
        <f>COUNTIF(F32:U32,"Я")*1+COUNTIF(F32:U32,"РВ")*1</f>
        <v>0</v>
      </c>
      <c r="W32" s="243">
        <f>SUM(V34,V32)</f>
        <v>0</v>
      </c>
      <c r="X32" s="133"/>
      <c r="Y32" s="134"/>
      <c r="Z32" s="135"/>
      <c r="AA32" s="135"/>
      <c r="AB32" s="134"/>
      <c r="AC32" s="136"/>
      <c r="AD32" s="132" t="str">
        <f>IF(SUMPRODUCT(--ISNUMBER(SEARCH("ОД",F29:U32)))&gt;0,"ОД","")</f>
        <v/>
      </c>
      <c r="AE32" s="137" t="str">
        <f t="array" ref="AE32">IF(AD32="","",SUMPRODUCT(($F$16:$U$19=AD32)*(IFERROR(WEEKDAY($F$11:$U$14,2),7)&lt;6)*(ISNA(MATCH($F$11:$U$14,празд,0))))&amp;"("&amp;SUMPRODUCT(($F$16:$U$19=AD32)*(IFERROR(WEEKDAY($F$11:$U$14,2),7)&lt;6)*(ISNA(MATCH($F$11:$U$14,празд,0))))*8&amp;")")</f>
        <v/>
      </c>
      <c r="AF32" s="226" t="str">
        <f>IF(SUMPRODUCT(--ISNUMBER(SEARCH("К",F32:U35)))&gt;0,"К","")</f>
        <v/>
      </c>
      <c r="AG32" s="226"/>
      <c r="AH32" s="126" t="str">
        <f t="array" ref="AH32">IF(AF32="","",SUMPRODUCT(($F$16:$U$19=AF32)*(IFERROR(WEEKDAY($F$11:$U$14,2),7)&lt;6)*(ISNA(MATCH($F$11:$U$14,празд,0))))&amp;"("&amp;SUMPRODUCT(($F$16:$U$19=AF32)*(IFERROR(WEEKDAY($F$11:$U$14,2),7)&lt;6)*(ISNA(MATCH($F$11:$U$14,празд,0))))*8&amp;")")</f>
        <v/>
      </c>
      <c r="AI32" s="92"/>
      <c r="AJ32" s="92"/>
    </row>
    <row r="33" spans="2:36" ht="12.95" customHeight="1" x14ac:dyDescent="0.2">
      <c r="B33" s="216"/>
      <c r="C33" s="238"/>
      <c r="D33" s="238"/>
      <c r="E33" s="307"/>
      <c r="F33" s="156"/>
      <c r="G33" s="156"/>
      <c r="H33" s="156"/>
      <c r="I33" s="156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8" t="s">
        <v>75</v>
      </c>
      <c r="V33" s="140">
        <f>SUM(F33:U33)</f>
        <v>0</v>
      </c>
      <c r="W33" s="244"/>
      <c r="X33" s="141"/>
      <c r="Y33" s="142"/>
      <c r="Z33" s="143"/>
      <c r="AA33" s="142"/>
      <c r="AB33" s="142"/>
      <c r="AC33" s="144"/>
      <c r="AD33" s="145" t="str">
        <f>IF(SUMPRODUCT(--ISNUMBER(SEARCH("ОТ",F32:U35)))&gt;0,"ОТ","")</f>
        <v/>
      </c>
      <c r="AE33" s="146" t="str">
        <f t="array" ref="AE33">IF(AD33="","",SUMPRODUCT(($F$16:$U$19=AD33)*(IFERROR(WEEKDAY($F$11:$U$14,2),7)&lt;6)*(ISNA(MATCH($F$11:$U$14,празд,0))))&amp;"("&amp;SUMPRODUCT(($F$16:$U$19=AD33)*(IFERROR(WEEKDAY($F$11:$U$14,2),7)&lt;6)*(ISNA(MATCH($F$11:$U$14,празд,0))))*8&amp;")")</f>
        <v/>
      </c>
      <c r="AF33" s="227"/>
      <c r="AG33" s="227"/>
      <c r="AH33" s="127" t="str">
        <f>IF(AF33="","",COUNTIF(F32:U35,AF33))</f>
        <v/>
      </c>
      <c r="AI33" s="93"/>
      <c r="AJ33" s="93"/>
    </row>
    <row r="34" spans="2:36" ht="12.95" customHeight="1" x14ac:dyDescent="0.2">
      <c r="B34" s="216"/>
      <c r="C34" s="238" t="str">
        <f>График!C22</f>
        <v>Электромонтер</v>
      </c>
      <c r="D34" s="238"/>
      <c r="E34" s="307"/>
      <c r="F34" s="156"/>
      <c r="G34" s="156"/>
      <c r="H34" s="156"/>
      <c r="I34" s="156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9" t="str">
        <f>IF(U$13="","",IF(AND(U$13&gt;=$AI34,U$13&lt;=$AJ34)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34" s="145">
        <f>COUNTIF(F34:U34,"Я")*1+COUNTIF(F34:U34,"РВ")*1</f>
        <v>0</v>
      </c>
      <c r="W34" s="245">
        <f>SUM(V35,V33)</f>
        <v>0</v>
      </c>
      <c r="X34" s="141"/>
      <c r="Y34" s="142"/>
      <c r="Z34" s="143"/>
      <c r="AA34" s="142"/>
      <c r="AB34" s="142"/>
      <c r="AC34" s="144"/>
      <c r="AD34" s="145" t="str">
        <f>IF(SUMPRODUCT(--ISNUMBER(SEARCH("б",F32:U35)))&gt;0,"Б","")</f>
        <v/>
      </c>
      <c r="AE34" s="146" t="str">
        <f t="array" ref="AE34">IF(AD34="","",SUMPRODUCT(($F$16:$U$19=AD34)*(IFERROR(WEEKDAY($F$11:$U$14,2),7)&lt;6)*(ISNA(MATCH($F$11:$U$14,празд,0))))&amp;"("&amp;SUMPRODUCT(($F$16:$U$19=AD34)*(IFERROR(WEEKDAY($F$11:$U$14,2),7)&lt;6)*(ISNA(MATCH($F$11:$U$14,празд,0))))*8&amp;")")</f>
        <v/>
      </c>
      <c r="AF34" s="230"/>
      <c r="AG34" s="230"/>
      <c r="AH34" s="125"/>
      <c r="AI34" s="93"/>
      <c r="AJ34" s="93"/>
    </row>
    <row r="35" spans="2:36" ht="12.95" customHeight="1" thickBot="1" x14ac:dyDescent="0.25">
      <c r="B35" s="217"/>
      <c r="C35" s="239"/>
      <c r="D35" s="239"/>
      <c r="E35" s="308"/>
      <c r="F35" s="160"/>
      <c r="G35" s="160"/>
      <c r="H35" s="160"/>
      <c r="I35" s="160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2" t="str">
        <f>IF(U34="Я",(IF(U$13="","",IF(AND(U$13&gt;=$AI35,U$13&lt;=$AJ35),"Р",IF(NOT(ISERROR(VLOOKUP(U$13,предпр,1,0)=U$13)),$E32*8-1,IF(NOT(ISERROR(VLOOKUP(U$13,выхрабд,1,0)=U$13)),$E32*8,IF(OR(WEEKDAY(U$13,2)&gt;5,ISNUMBER(MATCH(U$13,празд,0)),SUMPRODUCT(1*(U$13=допнер))),"",IF(WEEKDAY(U$13,2)&lt;6,$E32*8))))))),"")</f>
        <v/>
      </c>
      <c r="V35" s="147">
        <f>SUM(F35:U35)</f>
        <v>0</v>
      </c>
      <c r="W35" s="246"/>
      <c r="X35" s="148"/>
      <c r="Y35" s="149"/>
      <c r="Z35" s="150"/>
      <c r="AA35" s="149"/>
      <c r="AB35" s="149"/>
      <c r="AC35" s="151"/>
      <c r="AD35" s="147" t="str">
        <f>IF(SUMPRODUCT(--ISNUMBER(SEARCH("ОД",F32:U35)))&gt;0,"ОД","")</f>
        <v/>
      </c>
      <c r="AE35" s="152" t="str">
        <f t="array" ref="AE35">IF(AD35="","",SUMPRODUCT(($F$16:$U$19=AD35)*(IFERROR(WEEKDAY($F$11:$U$14,2),7)&lt;6)*(ISNA(MATCH($F$11:$U$14,празд,0))))&amp;"("&amp;SUMPRODUCT(($F$16:$U$19=AD35)*(IFERROR(WEEKDAY($F$11:$U$14,2),7)&lt;6)*(ISNA(MATCH($F$11:$U$14,празд,0))))*8&amp;")")</f>
        <v/>
      </c>
      <c r="AF35" s="231"/>
      <c r="AG35" s="231"/>
      <c r="AH35" s="128"/>
      <c r="AI35" s="93"/>
      <c r="AJ35" s="93"/>
    </row>
    <row r="36" spans="2:36" ht="12.95" customHeight="1" x14ac:dyDescent="0.2">
      <c r="B36" s="215" t="s">
        <v>83</v>
      </c>
      <c r="C36" s="238">
        <f>График!B23</f>
        <v>0</v>
      </c>
      <c r="D36" s="238">
        <f>График!A23</f>
        <v>1913850</v>
      </c>
      <c r="E36" s="241" t="s">
        <v>74</v>
      </c>
      <c r="F36" s="163"/>
      <c r="G36" s="153"/>
      <c r="H36" s="153"/>
      <c r="I36" s="153"/>
      <c r="J36" s="154"/>
      <c r="K36" s="154"/>
      <c r="L36" s="154"/>
      <c r="M36" s="154"/>
      <c r="N36" s="154"/>
      <c r="O36" s="154"/>
      <c r="P36" s="154"/>
      <c r="Q36" s="154"/>
      <c r="R36" s="154"/>
      <c r="S36" s="154"/>
      <c r="T36" s="154"/>
      <c r="U36" s="164" t="s">
        <v>75</v>
      </c>
      <c r="V36" s="132">
        <f>COUNTIF(F36:U36,"Я")*1+COUNTIF(F36:U36,"РВ")*1</f>
        <v>0</v>
      </c>
      <c r="W36" s="243">
        <f>SUM(V38,V36)</f>
        <v>0</v>
      </c>
      <c r="X36" s="133"/>
      <c r="Y36" s="134"/>
      <c r="Z36" s="135"/>
      <c r="AA36" s="135"/>
      <c r="AB36" s="134"/>
      <c r="AC36" s="136"/>
      <c r="AD36" s="132" t="str">
        <f>IF(SUMPRODUCT(--ISNUMBER(SEARCH("ОД",F33:U36)))&gt;0,"ОД","")</f>
        <v/>
      </c>
      <c r="AE36" s="137" t="str">
        <f t="array" ref="AE36">IF(AD36="","",SUMPRODUCT(($F$16:$U$19=AD36)*(IFERROR(WEEKDAY($F$11:$U$14,2),7)&lt;6)*(ISNA(MATCH($F$11:$U$14,празд,0))))&amp;"("&amp;SUMPRODUCT(($F$16:$U$19=AD36)*(IFERROR(WEEKDAY($F$11:$U$14,2),7)&lt;6)*(ISNA(MATCH($F$11:$U$14,празд,0))))*8&amp;")")</f>
        <v/>
      </c>
      <c r="AF36" s="226" t="str">
        <f>IF(SUMPRODUCT(--ISNUMBER(SEARCH("К",F36:U39)))&gt;0,"К","")</f>
        <v/>
      </c>
      <c r="AG36" s="226"/>
      <c r="AH36" s="126" t="str">
        <f t="array" ref="AH36">IF(AF36="","",SUMPRODUCT(($F$16:$U$19=AF36)*(IFERROR(WEEKDAY($F$11:$U$14,2),7)&lt;6)*(ISNA(MATCH($F$11:$U$14,празд,0))))&amp;"("&amp;SUMPRODUCT(($F$16:$U$19=AF36)*(IFERROR(WEEKDAY($F$11:$U$14,2),7)&lt;6)*(ISNA(MATCH($F$11:$U$14,празд,0))))*8&amp;")")</f>
        <v/>
      </c>
      <c r="AI36" s="92"/>
      <c r="AJ36" s="92"/>
    </row>
    <row r="37" spans="2:36" ht="12.95" customHeight="1" x14ac:dyDescent="0.2">
      <c r="B37" s="216"/>
      <c r="C37" s="238"/>
      <c r="D37" s="238"/>
      <c r="E37" s="241"/>
      <c r="F37" s="165"/>
      <c r="G37" s="156"/>
      <c r="H37" s="156"/>
      <c r="I37" s="156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66" t="s">
        <v>75</v>
      </c>
      <c r="V37" s="140">
        <f>SUM(F37:U37)</f>
        <v>0</v>
      </c>
      <c r="W37" s="244"/>
      <c r="X37" s="141"/>
      <c r="Y37" s="142"/>
      <c r="Z37" s="143"/>
      <c r="AA37" s="142"/>
      <c r="AB37" s="142"/>
      <c r="AC37" s="144"/>
      <c r="AD37" s="145" t="str">
        <f>IF(SUMPRODUCT(--ISNUMBER(SEARCH("ОТ",F36:U39)))&gt;0,"ОТ","")</f>
        <v/>
      </c>
      <c r="AE37" s="146" t="str">
        <f t="array" ref="AE37">IF(AD37="","",SUMPRODUCT(($F$16:$U$19=AD37)*(IFERROR(WEEKDAY($F$11:$U$14,2),7)&lt;6)*(ISNA(MATCH($F$11:$U$14,празд,0))))&amp;"("&amp;SUMPRODUCT(($F$16:$U$19=AD37)*(IFERROR(WEEKDAY($F$11:$U$14,2),7)&lt;6)*(ISNA(MATCH($F$11:$U$14,празд,0))))*8&amp;")")</f>
        <v/>
      </c>
      <c r="AF37" s="227"/>
      <c r="AG37" s="227"/>
      <c r="AH37" s="127" t="str">
        <f>IF(AF37="","",COUNTIF(F36:U39,AF37))</f>
        <v/>
      </c>
      <c r="AI37" s="93"/>
      <c r="AJ37" s="93"/>
    </row>
    <row r="38" spans="2:36" ht="12.95" customHeight="1" x14ac:dyDescent="0.2">
      <c r="B38" s="216"/>
      <c r="C38" s="238" t="str">
        <f>График!C23</f>
        <v>Телефонист</v>
      </c>
      <c r="D38" s="238"/>
      <c r="E38" s="241"/>
      <c r="F38" s="165"/>
      <c r="G38" s="156"/>
      <c r="H38" s="156"/>
      <c r="I38" s="156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67" t="str">
        <f>IF(U$13="","",IF(AND(U$13&gt;=$AI38,U$13&lt;=$AJ38)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38" s="145">
        <f>COUNTIF(F38:U38,"Я")*1+COUNTIF(F38:U38,"РВ")*1</f>
        <v>0</v>
      </c>
      <c r="W38" s="245">
        <f>SUM(V39,V37)</f>
        <v>0</v>
      </c>
      <c r="X38" s="141"/>
      <c r="Y38" s="142"/>
      <c r="Z38" s="143"/>
      <c r="AA38" s="142"/>
      <c r="AB38" s="142"/>
      <c r="AC38" s="144"/>
      <c r="AD38" s="145" t="str">
        <f>IF(SUMPRODUCT(--ISNUMBER(SEARCH("б",F36:U39)))&gt;0,"Б","")</f>
        <v/>
      </c>
      <c r="AE38" s="146" t="str">
        <f t="array" ref="AE38">IF(AD38="","",SUMPRODUCT(($F$16:$U$19=AD38)*(IFERROR(WEEKDAY($F$11:$U$14,2),7)&lt;6)*(ISNA(MATCH($F$11:$U$14,празд,0))))&amp;"("&amp;SUMPRODUCT(($F$16:$U$19=AD38)*(IFERROR(WEEKDAY($F$11:$U$14,2),7)&lt;6)*(ISNA(MATCH($F$11:$U$14,празд,0))))*8&amp;")")</f>
        <v/>
      </c>
      <c r="AF38" s="230"/>
      <c r="AG38" s="230"/>
      <c r="AH38" s="125"/>
      <c r="AI38" s="93"/>
      <c r="AJ38" s="93"/>
    </row>
    <row r="39" spans="2:36" ht="12.95" customHeight="1" thickBot="1" x14ac:dyDescent="0.25">
      <c r="B39" s="217"/>
      <c r="C39" s="239"/>
      <c r="D39" s="239"/>
      <c r="E39" s="242"/>
      <c r="F39" s="168"/>
      <c r="G39" s="160"/>
      <c r="H39" s="160"/>
      <c r="I39" s="160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9" t="str">
        <f>IF(U38="Я",(IF(U$13="","",IF(AND(U$13&gt;=$AI39,U$13&lt;=$AJ39),"Р",IF(NOT(ISERROR(VLOOKUP(U$13,предпр,1,0)=U$13)),$E36*8-1,IF(NOT(ISERROR(VLOOKUP(U$13,выхрабд,1,0)=U$13)),$E36*8,IF(OR(WEEKDAY(U$13,2)&gt;5,ISNUMBER(MATCH(U$13,празд,0)),SUMPRODUCT(1*(U$13=допнер))),"",IF(WEEKDAY(U$13,2)&lt;6,$E36*8))))))),"")</f>
        <v/>
      </c>
      <c r="V39" s="147">
        <f>SUM(F39:U39)</f>
        <v>0</v>
      </c>
      <c r="W39" s="246"/>
      <c r="X39" s="148"/>
      <c r="Y39" s="149"/>
      <c r="Z39" s="150"/>
      <c r="AA39" s="149"/>
      <c r="AB39" s="149"/>
      <c r="AC39" s="151"/>
      <c r="AD39" s="147" t="str">
        <f>IF(SUMPRODUCT(--ISNUMBER(SEARCH("ОД",F36:U39)))&gt;0,"ОД","")</f>
        <v/>
      </c>
      <c r="AE39" s="152" t="str">
        <f t="array" ref="AE39">IF(AD39="","",SUMPRODUCT(($F$16:$U$19=AD39)*(IFERROR(WEEKDAY($F$11:$U$14,2),7)&lt;6)*(ISNA(MATCH($F$11:$U$14,празд,0))))&amp;"("&amp;SUMPRODUCT(($F$16:$U$19=AD39)*(IFERROR(WEEKDAY($F$11:$U$14,2),7)&lt;6)*(ISNA(MATCH($F$11:$U$14,празд,0))))*8&amp;")")</f>
        <v/>
      </c>
      <c r="AF39" s="231"/>
      <c r="AG39" s="231"/>
      <c r="AH39" s="128"/>
      <c r="AI39" s="93"/>
      <c r="AJ39" s="93"/>
    </row>
    <row r="40" spans="2:36" ht="12.95" customHeight="1" x14ac:dyDescent="0.2">
      <c r="B40" s="215" t="s">
        <v>84</v>
      </c>
      <c r="C40" s="237">
        <f>График!B13</f>
        <v>0</v>
      </c>
      <c r="D40" s="218">
        <f>График!A13</f>
        <v>1912622</v>
      </c>
      <c r="E40" s="221" t="s">
        <v>74</v>
      </c>
      <c r="F40" s="163"/>
      <c r="G40" s="153"/>
      <c r="H40" s="153"/>
      <c r="I40" s="153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64" t="s">
        <v>75</v>
      </c>
      <c r="V40" s="170">
        <f>COUNTIF(F40:U40,"Я")*1+COUNTIF(F40:U40,"РВ")*1</f>
        <v>0</v>
      </c>
      <c r="W40" s="224">
        <f>SUM(V42,V40)</f>
        <v>0</v>
      </c>
      <c r="X40" s="184"/>
      <c r="Y40" s="134"/>
      <c r="Z40" s="135"/>
      <c r="AA40" s="135"/>
      <c r="AB40" s="134"/>
      <c r="AC40" s="185"/>
      <c r="AD40" s="132" t="str">
        <f>IF(SUMPRODUCT(--ISNUMBER(SEARCH("В",F40:U43)))&gt;0,"В","")</f>
        <v/>
      </c>
      <c r="AE40" s="137" t="str">
        <f>IF(AD40="","",COUNTIF(F40:U43,AD40))&amp;"("&amp;IF(AD40="","",COUNTIF(F40:U43,"в")*8)&amp;")"</f>
        <v>()</v>
      </c>
      <c r="AF40" s="226" t="str">
        <f>IF(SUMPRODUCT(--ISNUMBER(SEARCH("К",F40:U43)))&gt;0,"К","")</f>
        <v/>
      </c>
      <c r="AG40" s="226"/>
      <c r="AH40" s="126" t="str">
        <f t="array" ref="AH40">IF(AF40="","",SUMPRODUCT(($F$16:$U$19=AF40)*(IFERROR(WEEKDAY($F$11:$U$14,2),7)&lt;6)*(ISNA(MATCH($F$11:$U$14,празд,0))))&amp;"("&amp;SUMPRODUCT(($F$16:$U$19=AF40)*(IFERROR(WEEKDAY($F$11:$U$14,2),7)&lt;6)*(ISNA(MATCH($F$11:$U$14,празд,0))))*8&amp;")")</f>
        <v/>
      </c>
      <c r="AI40" s="92"/>
      <c r="AJ40" s="92"/>
    </row>
    <row r="41" spans="2:36" ht="12.95" customHeight="1" x14ac:dyDescent="0.2">
      <c r="B41" s="216"/>
      <c r="C41" s="238"/>
      <c r="D41" s="219"/>
      <c r="E41" s="222"/>
      <c r="F41" s="165"/>
      <c r="G41" s="156"/>
      <c r="H41" s="156"/>
      <c r="I41" s="156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66" t="s">
        <v>75</v>
      </c>
      <c r="V41" s="171">
        <f>SUM(F41:U41)</f>
        <v>0</v>
      </c>
      <c r="W41" s="225"/>
      <c r="X41" s="186"/>
      <c r="Y41" s="142"/>
      <c r="Z41" s="143"/>
      <c r="AA41" s="142"/>
      <c r="AB41" s="142"/>
      <c r="AC41" s="187"/>
      <c r="AD41" s="145" t="str">
        <f>IF(SUMPRODUCT(--ISNUMBER(SEARCH("ОТ",F40:U43)))&gt;0,"ОТ","")</f>
        <v/>
      </c>
      <c r="AE41" s="146" t="str">
        <f t="array" ref="AE41">IF(AD41="","",SUMPRODUCT(($F$16:$U$19=AD41)*(IFERROR(WEEKDAY($F$11:$U$14,2),7)&lt;6)*(ISNA(MATCH($F$11:$U$14,празд,0))))&amp;"("&amp;SUMPRODUCT(($F$16:$U$19=AD41)*(IFERROR(WEEKDAY($F$11:$U$14,2),7)&lt;6)*(ISNA(MATCH($F$11:$U$14,празд,0))))*8&amp;")")</f>
        <v/>
      </c>
      <c r="AF41" s="227"/>
      <c r="AG41" s="227"/>
      <c r="AH41" s="127" t="str">
        <f>IF(AF41="","",COUNTIF(F40:U43,AF41))</f>
        <v/>
      </c>
      <c r="AI41" s="93"/>
      <c r="AJ41" s="93"/>
    </row>
    <row r="42" spans="2:36" ht="12.95" customHeight="1" x14ac:dyDescent="0.2">
      <c r="B42" s="216"/>
      <c r="C42" s="238" t="str">
        <f>График!C13</f>
        <v>Электромонтер</v>
      </c>
      <c r="D42" s="219"/>
      <c r="E42" s="222"/>
      <c r="F42" s="165"/>
      <c r="G42" s="156"/>
      <c r="H42" s="156"/>
      <c r="I42" s="156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67" t="str">
        <f>IF(U$13="","",IF(AND(U$13&gt;=$AI42,U$13&lt;=$AJ42)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42" s="172">
        <f>COUNTIF(F42:U42,"Я")*1+COUNTIF(F42:U42,"РВ")*1</f>
        <v>0</v>
      </c>
      <c r="W42" s="228">
        <f>SUM(V43,V41)</f>
        <v>0</v>
      </c>
      <c r="X42" s="186"/>
      <c r="Y42" s="142"/>
      <c r="Z42" s="143"/>
      <c r="AA42" s="142"/>
      <c r="AB42" s="142"/>
      <c r="AC42" s="187"/>
      <c r="AD42" s="145" t="str">
        <f>IF(SUMPRODUCT(--ISNUMBER(SEARCH("б",F40:U43)))&gt;0,"Б","")</f>
        <v/>
      </c>
      <c r="AE42" s="146" t="str">
        <f t="array" ref="AE42">IF(AD42="","",SUMPRODUCT(($F$16:$U$19=AD42)*(IFERROR(WEEKDAY($F$11:$U$14,2),7)&lt;6)*(ISNA(MATCH($F$11:$U$14,празд,0))))&amp;"("&amp;SUMPRODUCT(($F$16:$U$19=AD42)*(IFERROR(WEEKDAY($F$11:$U$14,2),7)&lt;6)*(ISNA(MATCH($F$11:$U$14,празд,0))))*8&amp;")")</f>
        <v/>
      </c>
      <c r="AF42" s="230"/>
      <c r="AG42" s="230"/>
      <c r="AH42" s="125"/>
      <c r="AI42" s="93"/>
      <c r="AJ42" s="93"/>
    </row>
    <row r="43" spans="2:36" ht="12.95" customHeight="1" thickBot="1" x14ac:dyDescent="0.25">
      <c r="B43" s="217"/>
      <c r="C43" s="239"/>
      <c r="D43" s="220"/>
      <c r="E43" s="223"/>
      <c r="F43" s="168"/>
      <c r="G43" s="160"/>
      <c r="H43" s="160"/>
      <c r="I43" s="160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9" t="str">
        <f>IF(U42="Я",(IF(U$13="","",IF(AND(U$13&gt;=$AI43,U$13&lt;=$AJ43),"Р",IF(NOT(ISERROR(VLOOKUP(U$13,предпр,1,0)=U$13)),$E40*8-1,IF(NOT(ISERROR(VLOOKUP(U$13,выхрабд,1,0)=U$13)),$E40*8,IF(OR(WEEKDAY(U$13,2)&gt;5,ISNUMBER(MATCH(U$13,празд,0)),SUMPRODUCT(1*(U$13=допнер))),"",IF(WEEKDAY(U$13,2)&lt;6,$E40*8))))))),"")</f>
        <v/>
      </c>
      <c r="V43" s="173">
        <f>SUM(F43:U43)</f>
        <v>0</v>
      </c>
      <c r="W43" s="229"/>
      <c r="X43" s="188"/>
      <c r="Y43" s="149"/>
      <c r="Z43" s="150"/>
      <c r="AA43" s="149"/>
      <c r="AB43" s="149"/>
      <c r="AC43" s="189"/>
      <c r="AD43" s="147" t="str">
        <f>IF(SUMPRODUCT(--ISNUMBER(SEARCH("ОД",F40:U43)))&gt;0,"ОД","")</f>
        <v/>
      </c>
      <c r="AE43" s="152" t="str">
        <f t="array" ref="AE43">IF(AD43="","",SUMPRODUCT(($F$16:$U$19=AD43)*(IFERROR(WEEKDAY($F$11:$U$14,2),7)&lt;6)*(ISNA(MATCH($F$11:$U$14,празд,0))))&amp;"("&amp;SUMPRODUCT(($F$16:$U$19=AD43)*(IFERROR(WEEKDAY($F$11:$U$14,2),7)&lt;6)*(ISNA(MATCH($F$11:$U$14,празд,0))))*8&amp;")")</f>
        <v/>
      </c>
      <c r="AF43" s="231"/>
      <c r="AG43" s="231"/>
      <c r="AH43" s="128"/>
      <c r="AI43" s="93"/>
      <c r="AJ43" s="93"/>
    </row>
    <row r="44" spans="2:36" ht="12.95" customHeight="1" x14ac:dyDescent="0.2">
      <c r="B44" s="215" t="s">
        <v>85</v>
      </c>
      <c r="C44" s="237">
        <f>График!B20</f>
        <v>0</v>
      </c>
      <c r="D44" s="237">
        <f>График!A20</f>
        <v>1912044</v>
      </c>
      <c r="E44" s="240" t="s">
        <v>74</v>
      </c>
      <c r="F44" s="163"/>
      <c r="G44" s="153"/>
      <c r="H44" s="153"/>
      <c r="I44" s="153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64" t="s">
        <v>75</v>
      </c>
      <c r="V44" s="170">
        <f>COUNTIF(F44:U44,"Я")*1+COUNTIF(F44:U44,"РВ")*1</f>
        <v>0</v>
      </c>
      <c r="W44" s="224">
        <f>SUM(V46,V44)</f>
        <v>0</v>
      </c>
      <c r="X44" s="184"/>
      <c r="Y44" s="134"/>
      <c r="Z44" s="135"/>
      <c r="AA44" s="135"/>
      <c r="AB44" s="134"/>
      <c r="AC44" s="185"/>
      <c r="AD44" s="132" t="str">
        <f>IF(SUMPRODUCT(--ISNUMBER(SEARCH("В",F44:U47)))&gt;0,"В","")</f>
        <v/>
      </c>
      <c r="AE44" s="137" t="str">
        <f>IF(AD44="","",COUNTIF(F44:U47,AD44))&amp;"("&amp;IF(AD44="","",COUNTIF(F44:U47,"в")*8)&amp;")"</f>
        <v>()</v>
      </c>
      <c r="AF44" s="226" t="str">
        <f>IF(SUMPRODUCT(--ISNUMBER(SEARCH("К",F44:U47)))&gt;0,"К","")</f>
        <v/>
      </c>
      <c r="AG44" s="226"/>
      <c r="AH44" s="126" t="str">
        <f t="array" ref="AH44">IF(AF44="","",SUMPRODUCT(($F$16:$U$19=AF44)*(IFERROR(WEEKDAY($F$11:$U$14,2),7)&lt;6)*(ISNA(MATCH($F$11:$U$14,празд,0))))&amp;"("&amp;SUMPRODUCT(($F$16:$U$19=AF44)*(IFERROR(WEEKDAY($F$11:$U$14,2),7)&lt;6)*(ISNA(MATCH($F$11:$U$14,празд,0))))*8&amp;")")</f>
        <v/>
      </c>
      <c r="AI44" s="93"/>
      <c r="AJ44" s="93"/>
    </row>
    <row r="45" spans="2:36" ht="12.95" customHeight="1" x14ac:dyDescent="0.2">
      <c r="B45" s="216"/>
      <c r="C45" s="238"/>
      <c r="D45" s="238"/>
      <c r="E45" s="241"/>
      <c r="F45" s="165"/>
      <c r="G45" s="156"/>
      <c r="H45" s="156"/>
      <c r="I45" s="156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66" t="s">
        <v>75</v>
      </c>
      <c r="V45" s="171">
        <f>SUM(F45:U45)</f>
        <v>0</v>
      </c>
      <c r="W45" s="225"/>
      <c r="X45" s="186"/>
      <c r="Y45" s="142"/>
      <c r="Z45" s="143"/>
      <c r="AA45" s="142"/>
      <c r="AB45" s="142"/>
      <c r="AC45" s="187"/>
      <c r="AD45" s="145" t="str">
        <f>IF(SUMPRODUCT(--ISNUMBER(SEARCH("ОТ",F44:U47)))&gt;0,"ОТ","")</f>
        <v/>
      </c>
      <c r="AE45" s="146" t="str">
        <f t="array" ref="AE45">IF(AD45="","",SUMPRODUCT(($F$16:$U$19=AD45)*(IFERROR(WEEKDAY($F$11:$U$14,2),7)&lt;6)*(ISNA(MATCH($F$11:$U$14,празд,0))))&amp;"("&amp;SUMPRODUCT(($F$16:$U$19=AD45)*(IFERROR(WEEKDAY($F$11:$U$14,2),7)&lt;6)*(ISNA(MATCH($F$11:$U$14,празд,0))))*8&amp;")")</f>
        <v/>
      </c>
      <c r="AF45" s="227"/>
      <c r="AG45" s="227"/>
      <c r="AH45" s="127" t="str">
        <f>IF(AF45="","",COUNTIF(F44:U47,AF45))</f>
        <v/>
      </c>
      <c r="AI45" s="93"/>
      <c r="AJ45" s="93"/>
    </row>
    <row r="46" spans="2:36" ht="12.95" customHeight="1" x14ac:dyDescent="0.2">
      <c r="B46" s="216"/>
      <c r="C46" s="238" t="str">
        <f>График!C20</f>
        <v>Электромонтер</v>
      </c>
      <c r="D46" s="238"/>
      <c r="E46" s="241"/>
      <c r="F46" s="165"/>
      <c r="G46" s="156"/>
      <c r="H46" s="156"/>
      <c r="I46" s="156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67" t="str">
        <f>IF(U$13="","",IF(AND(U$13&gt;=$AI46,U$13&lt;=$AJ46)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46" s="172">
        <f>COUNTIF(F46:U46,"Я")*1+COUNTIF(F46:U46,"РВ")*1</f>
        <v>0</v>
      </c>
      <c r="W46" s="228">
        <f>SUM(V47,V45)</f>
        <v>0</v>
      </c>
      <c r="X46" s="186"/>
      <c r="Y46" s="142"/>
      <c r="Z46" s="143"/>
      <c r="AA46" s="142"/>
      <c r="AB46" s="142"/>
      <c r="AC46" s="187"/>
      <c r="AD46" s="145" t="str">
        <f>IF(SUMPRODUCT(--ISNUMBER(SEARCH("б",F44:U47)))&gt;0,"Б","")</f>
        <v/>
      </c>
      <c r="AE46" s="146" t="str">
        <f t="array" ref="AE46">IF(AD46="","",SUMPRODUCT(($F$16:$U$19=AD46)*(IFERROR(WEEKDAY($F$11:$U$14,2),7)&lt;6)*(ISNA(MATCH($F$11:$U$14,празд,0))))&amp;"("&amp;SUMPRODUCT(($F$16:$U$19=AD46)*(IFERROR(WEEKDAY($F$11:$U$14,2),7)&lt;6)*(ISNA(MATCH($F$11:$U$14,празд,0))))*8&amp;")")</f>
        <v/>
      </c>
      <c r="AF46" s="230"/>
      <c r="AG46" s="230"/>
      <c r="AH46" s="125"/>
      <c r="AI46" s="93"/>
      <c r="AJ46" s="93"/>
    </row>
    <row r="47" spans="2:36" ht="12.95" customHeight="1" thickBot="1" x14ac:dyDescent="0.25">
      <c r="B47" s="217"/>
      <c r="C47" s="239"/>
      <c r="D47" s="239"/>
      <c r="E47" s="242"/>
      <c r="F47" s="168"/>
      <c r="G47" s="160"/>
      <c r="H47" s="160"/>
      <c r="I47" s="160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9" t="str">
        <f>IF(U46="Я",(IF(U$13="","",IF(AND(U$13&gt;=$AI47,U$13&lt;=$AJ47),"Р",IF(NOT(ISERROR(VLOOKUP(U$13,предпр,1,0)=U$13)),$E44*8-1,IF(NOT(ISERROR(VLOOKUP(U$13,выхрабд,1,0)=U$13)),$E44*8,IF(OR(WEEKDAY(U$13,2)&gt;5,ISNUMBER(MATCH(U$13,празд,0)),SUMPRODUCT(1*(U$13=допнер))),"",IF(WEEKDAY(U$13,2)&lt;6,$E44*8))))))),"")</f>
        <v/>
      </c>
      <c r="V47" s="173">
        <f>SUM(F47:U47)</f>
        <v>0</v>
      </c>
      <c r="W47" s="229"/>
      <c r="X47" s="188"/>
      <c r="Y47" s="149"/>
      <c r="Z47" s="150"/>
      <c r="AA47" s="149"/>
      <c r="AB47" s="149"/>
      <c r="AC47" s="189"/>
      <c r="AD47" s="147" t="str">
        <f>IF(SUMPRODUCT(--ISNUMBER(SEARCH("ОД",F44:U47)))&gt;0,"ОД","")</f>
        <v/>
      </c>
      <c r="AE47" s="152" t="str">
        <f t="array" ref="AE47">IF(AD47="","",SUMPRODUCT(($F$16:$U$19=AD47)*(IFERROR(WEEKDAY($F$11:$U$14,2),7)&lt;6)*(ISNA(MATCH($F$11:$U$14,празд,0))))&amp;"("&amp;SUMPRODUCT(($F$16:$U$19=AD47)*(IFERROR(WEEKDAY($F$11:$U$14,2),7)&lt;6)*(ISNA(MATCH($F$11:$U$14,празд,0))))*8&amp;")")</f>
        <v/>
      </c>
      <c r="AF47" s="231"/>
      <c r="AG47" s="231"/>
      <c r="AH47" s="128"/>
      <c r="AI47" s="93"/>
      <c r="AJ47" s="93"/>
    </row>
    <row r="48" spans="2:36" ht="12.95" customHeight="1" x14ac:dyDescent="0.2">
      <c r="B48" s="215" t="s">
        <v>86</v>
      </c>
      <c r="C48" s="237">
        <f>График!B21</f>
        <v>0</v>
      </c>
      <c r="D48" s="218">
        <f>График!A21</f>
        <v>1927879</v>
      </c>
      <c r="E48" s="221" t="s">
        <v>74</v>
      </c>
      <c r="F48" s="163"/>
      <c r="G48" s="153"/>
      <c r="H48" s="153"/>
      <c r="I48" s="153"/>
      <c r="J48" s="154"/>
      <c r="K48" s="154"/>
      <c r="L48" s="154"/>
      <c r="M48" s="154"/>
      <c r="N48" s="154"/>
      <c r="O48" s="154"/>
      <c r="P48" s="154"/>
      <c r="Q48" s="154"/>
      <c r="R48" s="154"/>
      <c r="S48" s="154"/>
      <c r="T48" s="154"/>
      <c r="U48" s="164" t="s">
        <v>75</v>
      </c>
      <c r="V48" s="170">
        <f>COUNTIF(F48:U48,"Я")*1+COUNTIF(F48:U48,"РВ")*1</f>
        <v>0</v>
      </c>
      <c r="W48" s="224">
        <f>SUM(V50,V48)</f>
        <v>0</v>
      </c>
      <c r="X48" s="184"/>
      <c r="Y48" s="134"/>
      <c r="Z48" s="135"/>
      <c r="AA48" s="135"/>
      <c r="AB48" s="134"/>
      <c r="AC48" s="185"/>
      <c r="AD48" s="132" t="str">
        <f>IF(SUMPRODUCT(--ISNUMBER(SEARCH("В",F48:U51)))&gt;0,"В","")</f>
        <v/>
      </c>
      <c r="AE48" s="137" t="str">
        <f>IF(AD48="","",COUNTIF(F48:U51,AD48))&amp;"("&amp;IF(AD48="","",COUNTIF(F48:U51,"в")*8)&amp;")"</f>
        <v>()</v>
      </c>
      <c r="AF48" s="226" t="str">
        <f>IF(SUMPRODUCT(--ISNUMBER(SEARCH("К",F48:U51)))&gt;0,"К","")</f>
        <v/>
      </c>
      <c r="AG48" s="226"/>
      <c r="AH48" s="126" t="str">
        <f t="array" ref="AH48">IF(AF48="","",SUMPRODUCT(($F$16:$U$19=AF48)*(IFERROR(WEEKDAY($F$11:$U$14,2),7)&lt;6)*(ISNA(MATCH($F$11:$U$14,празд,0))))&amp;"("&amp;SUMPRODUCT(($F$16:$U$19=AF48)*(IFERROR(WEEKDAY($F$11:$U$14,2),7)&lt;6)*(ISNA(MATCH($F$11:$U$14,празд,0))))*8&amp;")")</f>
        <v/>
      </c>
      <c r="AI48" s="93"/>
      <c r="AJ48" s="93"/>
    </row>
    <row r="49" spans="2:36" ht="12.95" customHeight="1" x14ac:dyDescent="0.2">
      <c r="B49" s="216"/>
      <c r="C49" s="238"/>
      <c r="D49" s="219"/>
      <c r="E49" s="222"/>
      <c r="F49" s="165"/>
      <c r="G49" s="156"/>
      <c r="H49" s="156"/>
      <c r="I49" s="156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66" t="s">
        <v>75</v>
      </c>
      <c r="V49" s="171">
        <f>SUM(F49:U49)</f>
        <v>0</v>
      </c>
      <c r="W49" s="225"/>
      <c r="X49" s="186"/>
      <c r="Y49" s="142"/>
      <c r="Z49" s="143"/>
      <c r="AA49" s="142"/>
      <c r="AB49" s="142"/>
      <c r="AC49" s="187"/>
      <c r="AD49" s="145" t="str">
        <f>IF(SUMPRODUCT(--ISNUMBER(SEARCH("ОТ",F48:U51)))&gt;0,"ОТ","")</f>
        <v/>
      </c>
      <c r="AE49" s="146" t="str">
        <f t="array" ref="AE49">IF(AD49="","",SUMPRODUCT(($F$16:$U$19=AD49)*(IFERROR(WEEKDAY($F$11:$U$14,2),7)&lt;6)*(ISNA(MATCH($F$11:$U$14,празд,0))))&amp;"("&amp;SUMPRODUCT(($F$16:$U$19=AD49)*(IFERROR(WEEKDAY($F$11:$U$14,2),7)&lt;6)*(ISNA(MATCH($F$11:$U$14,празд,0))))*8&amp;")")</f>
        <v/>
      </c>
      <c r="AF49" s="227"/>
      <c r="AG49" s="227"/>
      <c r="AH49" s="127" t="str">
        <f>IF(AF49="","",COUNTIF(F48:U51,AF49))</f>
        <v/>
      </c>
      <c r="AI49" s="93"/>
      <c r="AJ49" s="93"/>
    </row>
    <row r="50" spans="2:36" ht="12.95" customHeight="1" x14ac:dyDescent="0.2">
      <c r="B50" s="216"/>
      <c r="C50" s="238" t="str">
        <f>График!C21</f>
        <v>Электромонтер</v>
      </c>
      <c r="D50" s="219"/>
      <c r="E50" s="222"/>
      <c r="F50" s="165"/>
      <c r="G50" s="156"/>
      <c r="H50" s="156"/>
      <c r="I50" s="156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67" t="str">
        <f>IF(U$13="","",IF(AND(U$13&gt;=$AI50,U$13&lt;=$AJ50)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50" s="172">
        <f>COUNTIF(F50:U50,"Я")*1+COUNTIF(F50:U50,"РВ")*1</f>
        <v>0</v>
      </c>
      <c r="W50" s="228">
        <f>SUM(V51,V49)</f>
        <v>0</v>
      </c>
      <c r="X50" s="186"/>
      <c r="Y50" s="142"/>
      <c r="Z50" s="143"/>
      <c r="AA50" s="142"/>
      <c r="AB50" s="142"/>
      <c r="AC50" s="187"/>
      <c r="AD50" s="145" t="str">
        <f>IF(SUMPRODUCT(--ISNUMBER(SEARCH("б",F48:U51)))&gt;0,"Б","")</f>
        <v/>
      </c>
      <c r="AE50" s="146" t="str">
        <f t="array" ref="AE50">IF(AD50="","",SUMPRODUCT(($F$16:$U$19=AD50)*(IFERROR(WEEKDAY($F$11:$U$14,2),7)&lt;6)*(ISNA(MATCH($F$11:$U$14,празд,0))))&amp;"("&amp;SUMPRODUCT(($F$16:$U$19=AD50)*(IFERROR(WEEKDAY($F$11:$U$14,2),7)&lt;6)*(ISNA(MATCH($F$11:$U$14,празд,0))))*8&amp;")")</f>
        <v/>
      </c>
      <c r="AF50" s="230"/>
      <c r="AG50" s="230"/>
      <c r="AH50" s="125"/>
      <c r="AI50" s="93"/>
      <c r="AJ50" s="93"/>
    </row>
    <row r="51" spans="2:36" ht="12.95" customHeight="1" thickBot="1" x14ac:dyDescent="0.25">
      <c r="B51" s="217"/>
      <c r="C51" s="239"/>
      <c r="D51" s="220"/>
      <c r="E51" s="223"/>
      <c r="F51" s="168"/>
      <c r="G51" s="160"/>
      <c r="H51" s="160"/>
      <c r="I51" s="160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9" t="str">
        <f>IF(U50="Я",(IF(U$13="","",IF(AND(U$13&gt;=$AI51,U$13&lt;=$AJ51),"Р",IF(NOT(ISERROR(VLOOKUP(U$13,предпр,1,0)=U$13)),$E48*8-1,IF(NOT(ISERROR(VLOOKUP(U$13,выхрабд,1,0)=U$13)),$E48*8,IF(OR(WEEKDAY(U$13,2)&gt;5,ISNUMBER(MATCH(U$13,празд,0)),SUMPRODUCT(1*(U$13=допнер))),"",IF(WEEKDAY(U$13,2)&lt;6,$E48*8))))))),"")</f>
        <v/>
      </c>
      <c r="V51" s="173">
        <f>SUM(F51:U51)</f>
        <v>0</v>
      </c>
      <c r="W51" s="229"/>
      <c r="X51" s="188"/>
      <c r="Y51" s="149"/>
      <c r="Z51" s="150"/>
      <c r="AA51" s="149"/>
      <c r="AB51" s="149"/>
      <c r="AC51" s="189"/>
      <c r="AD51" s="147" t="str">
        <f>IF(SUMPRODUCT(--ISNUMBER(SEARCH("ОД",F48:U51)))&gt;0,"ОД","")</f>
        <v/>
      </c>
      <c r="AE51" s="152" t="str">
        <f t="array" ref="AE51">IF(AD51="","",SUMPRODUCT(($F$16:$U$19=AD51)*(IFERROR(WEEKDAY($F$11:$U$14,2),7)&lt;6)*(ISNA(MATCH($F$11:$U$14,празд,0))))&amp;"("&amp;SUMPRODUCT(($F$16:$U$19=AD51)*(IFERROR(WEEKDAY($F$11:$U$14,2),7)&lt;6)*(ISNA(MATCH($F$11:$U$14,празд,0))))*8&amp;")")</f>
        <v/>
      </c>
      <c r="AF51" s="231"/>
      <c r="AG51" s="231"/>
      <c r="AH51" s="128"/>
      <c r="AI51" s="93"/>
      <c r="AJ51" s="93"/>
    </row>
    <row r="52" spans="2:36" ht="12.95" customHeight="1" x14ac:dyDescent="0.2">
      <c r="B52" s="215" t="s">
        <v>87</v>
      </c>
      <c r="C52" s="237">
        <f>График!B17</f>
        <v>0</v>
      </c>
      <c r="D52" s="218">
        <f>График!A17</f>
        <v>1912510</v>
      </c>
      <c r="E52" s="221" t="s">
        <v>74</v>
      </c>
      <c r="F52" s="163"/>
      <c r="G52" s="153"/>
      <c r="H52" s="153"/>
      <c r="I52" s="153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64" t="s">
        <v>75</v>
      </c>
      <c r="V52" s="170">
        <f>COUNTIF(F52:U52,"Я")*1+COUNTIF(F52:U52,"РВ")*1</f>
        <v>0</v>
      </c>
      <c r="W52" s="224">
        <f>SUM(V54,V52)</f>
        <v>0</v>
      </c>
      <c r="X52" s="184"/>
      <c r="Y52" s="134"/>
      <c r="Z52" s="135"/>
      <c r="AA52" s="135"/>
      <c r="AB52" s="134"/>
      <c r="AC52" s="185"/>
      <c r="AD52" s="132" t="str">
        <f>IF(SUMPRODUCT(--ISNUMBER(SEARCH("В",F52:U55)))&gt;0,"В","")</f>
        <v/>
      </c>
      <c r="AE52" s="137" t="str">
        <f>IF(AD52="","",COUNTIF(F52:U55,AD52))&amp;"("&amp;IF(AD52="","",COUNTIF(F52:U55,"в")*8)&amp;")"</f>
        <v>()</v>
      </c>
      <c r="AF52" s="226" t="str">
        <f>IF(SUMPRODUCT(--ISNUMBER(SEARCH("К",F52:U55)))&gt;0,"К","")</f>
        <v/>
      </c>
      <c r="AG52" s="226"/>
      <c r="AH52" s="126" t="str">
        <f t="array" ref="AH52">IF(AF52="","",SUMPRODUCT(($F$16:$U$19=AF52)*(IFERROR(WEEKDAY($F$11:$U$14,2),7)&lt;6)*(ISNA(MATCH($F$11:$U$14,празд,0))))&amp;"("&amp;SUMPRODUCT(($F$16:$U$19=AF52)*(IFERROR(WEEKDAY($F$11:$U$14,2),7)&lt;6)*(ISNA(MATCH($F$11:$U$14,празд,0))))*8&amp;")")</f>
        <v/>
      </c>
      <c r="AI52" s="93"/>
      <c r="AJ52" s="93"/>
    </row>
    <row r="53" spans="2:36" ht="12.95" customHeight="1" x14ac:dyDescent="0.2">
      <c r="B53" s="216"/>
      <c r="C53" s="238"/>
      <c r="D53" s="219"/>
      <c r="E53" s="222"/>
      <c r="F53" s="165"/>
      <c r="G53" s="156"/>
      <c r="H53" s="156"/>
      <c r="I53" s="156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66" t="s">
        <v>75</v>
      </c>
      <c r="V53" s="171">
        <f>SUM(F53:U53)</f>
        <v>0</v>
      </c>
      <c r="W53" s="225"/>
      <c r="X53" s="186"/>
      <c r="Y53" s="142"/>
      <c r="Z53" s="143"/>
      <c r="AA53" s="142"/>
      <c r="AB53" s="142"/>
      <c r="AC53" s="187"/>
      <c r="AD53" s="145" t="str">
        <f>IF(SUMPRODUCT(--ISNUMBER(SEARCH("ОТ",F52:U55)))&gt;0,"ОТ","")</f>
        <v/>
      </c>
      <c r="AE53" s="146" t="str">
        <f t="array" ref="AE53">IF(AD53="","",SUMPRODUCT(($F$16:$U$19=AD53)*(IFERROR(WEEKDAY($F$11:$U$14,2),7)&lt;6)*(ISNA(MATCH($F$11:$U$14,празд,0))))&amp;"("&amp;SUMPRODUCT(($F$16:$U$19=AD53)*(IFERROR(WEEKDAY($F$11:$U$14,2),7)&lt;6)*(ISNA(MATCH($F$11:$U$14,празд,0))))*8&amp;")")</f>
        <v/>
      </c>
      <c r="AF53" s="227"/>
      <c r="AG53" s="227"/>
      <c r="AH53" s="127" t="str">
        <f>IF(AF53="","",COUNTIF(F52:U55,AF53))</f>
        <v/>
      </c>
      <c r="AI53" s="93"/>
      <c r="AJ53" s="93"/>
    </row>
    <row r="54" spans="2:36" ht="12.95" customHeight="1" x14ac:dyDescent="0.2">
      <c r="B54" s="216"/>
      <c r="C54" s="238" t="str">
        <f>График!C17</f>
        <v>Электромеханик</v>
      </c>
      <c r="D54" s="219"/>
      <c r="E54" s="222"/>
      <c r="F54" s="165"/>
      <c r="G54" s="156"/>
      <c r="H54" s="156"/>
      <c r="I54" s="156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67" t="str">
        <f>IF(U$13="","",IF(AND(U$13&gt;=$AI54,U$13&lt;=$AJ54)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54" s="172">
        <f>COUNTIF(F54:U54,"Я")*1+COUNTIF(F54:U54,"РВ")*1</f>
        <v>0</v>
      </c>
      <c r="W54" s="228">
        <f>SUM(V55,V53)</f>
        <v>0</v>
      </c>
      <c r="X54" s="186"/>
      <c r="Y54" s="142"/>
      <c r="Z54" s="143"/>
      <c r="AA54" s="142"/>
      <c r="AB54" s="142"/>
      <c r="AC54" s="187"/>
      <c r="AD54" s="145" t="str">
        <f>IF(SUMPRODUCT(--ISNUMBER(SEARCH("б",F52:U55)))&gt;0,"Б","")</f>
        <v/>
      </c>
      <c r="AE54" s="146" t="str">
        <f t="array" ref="AE54">IF(AD54="","",SUMPRODUCT(($F$16:$U$19=AD54)*(IFERROR(WEEKDAY($F$11:$U$14,2),7)&lt;6)*(ISNA(MATCH($F$11:$U$14,празд,0))))&amp;"("&amp;SUMPRODUCT(($F$16:$U$19=AD54)*(IFERROR(WEEKDAY($F$11:$U$14,2),7)&lt;6)*(ISNA(MATCH($F$11:$U$14,празд,0))))*8&amp;")")</f>
        <v/>
      </c>
      <c r="AF54" s="230"/>
      <c r="AG54" s="230"/>
      <c r="AH54" s="125"/>
      <c r="AI54" s="93"/>
      <c r="AJ54" s="93"/>
    </row>
    <row r="55" spans="2:36" ht="12.95" customHeight="1" thickBot="1" x14ac:dyDescent="0.25">
      <c r="B55" s="217"/>
      <c r="C55" s="239"/>
      <c r="D55" s="220"/>
      <c r="E55" s="223"/>
      <c r="F55" s="168"/>
      <c r="G55" s="160"/>
      <c r="H55" s="160"/>
      <c r="I55" s="160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9" t="str">
        <f>IF(U54="Я",(IF(U$13="","",IF(AND(U$13&gt;=$AI55,U$13&lt;=$AJ55),"Р",IF(NOT(ISERROR(VLOOKUP(U$13,предпр,1,0)=U$13)),$E52*8-1,IF(NOT(ISERROR(VLOOKUP(U$13,выхрабд,1,0)=U$13)),$E52*8,IF(OR(WEEKDAY(U$13,2)&gt;5,ISNUMBER(MATCH(U$13,празд,0)),SUMPRODUCT(1*(U$13=допнер))),"",IF(WEEKDAY(U$13,2)&lt;6,$E52*8))))))),"")</f>
        <v/>
      </c>
      <c r="V55" s="173">
        <f>SUM(F55:U55)</f>
        <v>0</v>
      </c>
      <c r="W55" s="229"/>
      <c r="X55" s="188"/>
      <c r="Y55" s="149"/>
      <c r="Z55" s="150"/>
      <c r="AA55" s="149"/>
      <c r="AB55" s="149"/>
      <c r="AC55" s="189"/>
      <c r="AD55" s="147" t="str">
        <f>IF(SUMPRODUCT(--ISNUMBER(SEARCH("ОД",F52:U55)))&gt;0,"ОД","")</f>
        <v/>
      </c>
      <c r="AE55" s="152" t="str">
        <f t="array" ref="AE55">IF(AD55="","",SUMPRODUCT(($F$16:$U$19=AD55)*(IFERROR(WEEKDAY($F$11:$U$14,2),7)&lt;6)*(ISNA(MATCH($F$11:$U$14,празд,0))))&amp;"("&amp;SUMPRODUCT(($F$16:$U$19=AD55)*(IFERROR(WEEKDAY($F$11:$U$14,2),7)&lt;6)*(ISNA(MATCH($F$11:$U$14,празд,0))))*8&amp;")")</f>
        <v/>
      </c>
      <c r="AF55" s="231"/>
      <c r="AG55" s="231"/>
      <c r="AH55" s="128"/>
      <c r="AI55" s="93"/>
      <c r="AJ55" s="93"/>
    </row>
    <row r="56" spans="2:36" ht="12.95" customHeight="1" x14ac:dyDescent="0.2">
      <c r="B56" s="215" t="s">
        <v>88</v>
      </c>
      <c r="C56" s="237">
        <f>График!B11</f>
        <v>0</v>
      </c>
      <c r="D56" s="218">
        <f>График!A11</f>
        <v>1912045</v>
      </c>
      <c r="E56" s="221" t="s">
        <v>74</v>
      </c>
      <c r="F56" s="16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64" t="s">
        <v>75</v>
      </c>
      <c r="V56" s="170">
        <f>COUNTIF(F56:U56,"Я")*1+COUNTIF(F56:U56,"РВ")*1</f>
        <v>0</v>
      </c>
      <c r="W56" s="224">
        <f>SUM(V58,V56)</f>
        <v>0</v>
      </c>
      <c r="X56" s="184"/>
      <c r="Y56" s="134"/>
      <c r="Z56" s="135"/>
      <c r="AA56" s="135"/>
      <c r="AB56" s="134"/>
      <c r="AC56" s="185"/>
      <c r="AD56" s="132" t="str">
        <f>IF(SUMPRODUCT(--ISNUMBER(SEARCH("В",F56:U59)))&gt;0,"В","")</f>
        <v/>
      </c>
      <c r="AE56" s="137" t="str">
        <f t="array" ref="AE56">IF(AD56="","",COUNTIF(F56:U59,AD56))&amp;"("&amp;IF(AD56="","",COUNTIF(F56:U59,"в")*8)&amp;")"</f>
        <v>()</v>
      </c>
      <c r="AF56" s="226" t="str">
        <f>IF(SUMPRODUCT(--ISNUMBER(SEARCH("К",F56:U59)))&gt;0,"К","")</f>
        <v/>
      </c>
      <c r="AG56" s="226"/>
      <c r="AH56" s="126" t="str">
        <f t="array" ref="AH56">IF(AF56="","",SUMPRODUCT(($F$16:$U$19=AF56)*(IFERROR(WEEKDAY($F$11:$U$14,2),7)&lt;6)*(ISNA(MATCH($F$11:$U$14,празд,0))))&amp;"("&amp;SUMPRODUCT(($F$16:$U$19=AF56)*(IFERROR(WEEKDAY($F$11:$U$14,2),7)&lt;6)*(ISNA(MATCH($F$11:$U$14,празд,0))))*8&amp;")")</f>
        <v/>
      </c>
      <c r="AI56" s="93"/>
      <c r="AJ56" s="93"/>
    </row>
    <row r="57" spans="2:36" ht="12.95" customHeight="1" x14ac:dyDescent="0.2">
      <c r="B57" s="216"/>
      <c r="C57" s="238"/>
      <c r="D57" s="219"/>
      <c r="E57" s="222"/>
      <c r="F57" s="165"/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66" t="s">
        <v>75</v>
      </c>
      <c r="V57" s="171">
        <f>SUM(F57:U57)</f>
        <v>0</v>
      </c>
      <c r="W57" s="225"/>
      <c r="X57" s="186"/>
      <c r="Y57" s="142"/>
      <c r="Z57" s="143"/>
      <c r="AA57" s="142"/>
      <c r="AB57" s="142"/>
      <c r="AC57" s="187"/>
      <c r="AD57" s="145" t="str">
        <f>IF(SUMPRODUCT(--ISNUMBER(SEARCH("ОТ",F56:U59)))&gt;0,"ОТ","")</f>
        <v/>
      </c>
      <c r="AE57" s="146" t="str">
        <f t="array" ref="AE57">IF(AD57="","",SUMPRODUCT(($F$16:$U$19=AD57)*(IFERROR(WEEKDAY($F$11:$U$14,2),7)&lt;6)*(ISNA(MATCH($F$11:$U$14,празд,0))))&amp;"("&amp;SUMPRODUCT(($F$16:$U$19=AD57)*(IFERROR(WEEKDAY($F$11:$U$14,2),7)&lt;6)*(ISNA(MATCH($F$11:$U$14,празд,0))))*8&amp;")")</f>
        <v/>
      </c>
      <c r="AF57" s="227"/>
      <c r="AG57" s="227"/>
      <c r="AH57" s="127" t="str">
        <f>IF(AF57="","",COUNTIF(F56:U59,AF57))</f>
        <v/>
      </c>
      <c r="AI57" s="93"/>
      <c r="AJ57" s="93"/>
    </row>
    <row r="58" spans="2:36" ht="12.95" customHeight="1" x14ac:dyDescent="0.2">
      <c r="B58" s="216"/>
      <c r="C58" s="238" t="str">
        <f>График!C11</f>
        <v>Электромеханик</v>
      </c>
      <c r="D58" s="219"/>
      <c r="E58" s="222"/>
      <c r="F58" s="165"/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67" t="str">
        <f>IF(U$13="","",IF(AND(U$13&gt;=$AI58,U$13&lt;=$AJ58)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58" s="172">
        <f>COUNTIF(F58:U58,"Я")*1+COUNTIF(F58:U58,"РВ")*1</f>
        <v>0</v>
      </c>
      <c r="W58" s="228">
        <f>SUM(V59,V57)</f>
        <v>0</v>
      </c>
      <c r="X58" s="186"/>
      <c r="Y58" s="142"/>
      <c r="Z58" s="143"/>
      <c r="AA58" s="142"/>
      <c r="AB58" s="142"/>
      <c r="AC58" s="187"/>
      <c r="AD58" s="145" t="str">
        <f>IF(SUMPRODUCT(--ISNUMBER(SEARCH("б",F56:U59)))&gt;0,"Б","")</f>
        <v/>
      </c>
      <c r="AE58" s="146" t="str">
        <f t="array" ref="AE58">IF(AD58="","",SUMPRODUCT(($F$16:$U$19=AD58)*(IFERROR(WEEKDAY($F$11:$U$14,2),7)&lt;6)*(ISNA(MATCH($F$11:$U$14,празд,0))))&amp;"("&amp;SUMPRODUCT(($F$16:$U$19=AD58)*(IFERROR(WEEKDAY($F$11:$U$14,2),7)&lt;6)*(ISNA(MATCH($F$11:$U$14,празд,0))))*8&amp;")")</f>
        <v/>
      </c>
      <c r="AF58" s="230"/>
      <c r="AG58" s="230"/>
      <c r="AH58" s="125"/>
      <c r="AI58" s="93"/>
      <c r="AJ58" s="93"/>
    </row>
    <row r="59" spans="2:36" ht="12.95" customHeight="1" thickBot="1" x14ac:dyDescent="0.25">
      <c r="B59" s="217"/>
      <c r="C59" s="239"/>
      <c r="D59" s="220"/>
      <c r="E59" s="223"/>
      <c r="F59" s="168"/>
      <c r="G59" s="160"/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9" t="str">
        <f>IF(U58="Я",(IF(U$13="","",IF(AND(U$13&gt;=$AI59,U$13&lt;=$AJ59),"Р",IF(NOT(ISERROR(VLOOKUP(U$13,предпр,1,0)=U$13)),$E56*8-1,IF(NOT(ISERROR(VLOOKUP(U$13,выхрабд,1,0)=U$13)),$E56*8,IF(OR(WEEKDAY(U$13,2)&gt;5,ISNUMBER(MATCH(U$13,празд,0)),SUMPRODUCT(1*(U$13=допнер))),"",IF(WEEKDAY(U$13,2)&lt;6,$E56*8))))))),"")</f>
        <v/>
      </c>
      <c r="V59" s="173">
        <f>SUM(F59:U59)</f>
        <v>0</v>
      </c>
      <c r="W59" s="229"/>
      <c r="X59" s="188"/>
      <c r="Y59" s="149"/>
      <c r="Z59" s="150"/>
      <c r="AA59" s="149"/>
      <c r="AB59" s="149"/>
      <c r="AC59" s="189"/>
      <c r="AD59" s="147" t="str">
        <f>IF(SUMPRODUCT(--ISNUMBER(SEARCH("ОД",F56:U59)))&gt;0,"ОД","")</f>
        <v/>
      </c>
      <c r="AE59" s="152" t="str">
        <f t="array" ref="AE59">IF(AD59="","",SUMPRODUCT(($F$16:$U$19=AD59)*(IFERROR(WEEKDAY($F$11:$U$14,2),7)&lt;6)*(ISNA(MATCH($F$11:$U$14,празд,0))))&amp;"("&amp;SUMPRODUCT(($F$16:$U$19=AD59)*(IFERROR(WEEKDAY($F$11:$U$14,2),7)&lt;6)*(ISNA(MATCH($F$11:$U$14,празд,0))))*8&amp;")")</f>
        <v/>
      </c>
      <c r="AF59" s="231"/>
      <c r="AG59" s="231"/>
      <c r="AH59" s="128"/>
    </row>
    <row r="60" spans="2:36" ht="12.95" customHeight="1" x14ac:dyDescent="0.2">
      <c r="B60" s="215" t="s">
        <v>89</v>
      </c>
      <c r="C60" s="237">
        <f>График!B18</f>
        <v>0</v>
      </c>
      <c r="D60" s="218">
        <f>График!A18</f>
        <v>1912130</v>
      </c>
      <c r="E60" s="221" t="s">
        <v>74</v>
      </c>
      <c r="F60" s="163"/>
      <c r="G60" s="153"/>
      <c r="H60" s="153"/>
      <c r="I60" s="153"/>
      <c r="J60" s="154"/>
      <c r="K60" s="154"/>
      <c r="L60" s="154"/>
      <c r="M60" s="154"/>
      <c r="N60" s="154"/>
      <c r="O60" s="154"/>
      <c r="P60" s="154"/>
      <c r="Q60" s="154"/>
      <c r="R60" s="154"/>
      <c r="S60" s="154"/>
      <c r="T60" s="154"/>
      <c r="U60" s="164" t="s">
        <v>75</v>
      </c>
      <c r="V60" s="170">
        <f>COUNTIF(F60:U60,"Я")*1+COUNTIF(F60:U60,"РВ")*1</f>
        <v>0</v>
      </c>
      <c r="W60" s="224">
        <f>SUM(V62,V60)</f>
        <v>0</v>
      </c>
      <c r="X60" s="184"/>
      <c r="Y60" s="134"/>
      <c r="Z60" s="135"/>
      <c r="AA60" s="135"/>
      <c r="AB60" s="134"/>
      <c r="AC60" s="185"/>
      <c r="AD60" s="132" t="str">
        <f>IF(SUMPRODUCT(--ISNUMBER(SEARCH("В",F60:U63)))&gt;0,"В","")</f>
        <v/>
      </c>
      <c r="AE60" s="137" t="str">
        <f>IF(AD60="","",COUNTIF(F60:U63,AD60))&amp;"("&amp;IF(AD60="","",COUNTIF(F60:U63,"в")*8)&amp;")"</f>
        <v>()</v>
      </c>
      <c r="AF60" s="226" t="str">
        <f>IF(SUMPRODUCT(--ISNUMBER(SEARCH("К",F60:U63)))&gt;0,"К","")</f>
        <v/>
      </c>
      <c r="AG60" s="226"/>
      <c r="AH60" s="126" t="str">
        <f t="array" ref="AH60">IF(AF60="","",SUMPRODUCT(($F$16:$U$19=AF60)*(IFERROR(WEEKDAY($F$11:$U$14,2),7)&lt;6)*(ISNA(MATCH($F$11:$U$14,празд,0))))&amp;"("&amp;SUMPRODUCT(($F$16:$U$19=AF60)*(IFERROR(WEEKDAY($F$11:$U$14,2),7)&lt;6)*(ISNA(MATCH($F$11:$U$14,празд,0))))*8&amp;")")</f>
        <v/>
      </c>
      <c r="AI60" s="92"/>
      <c r="AJ60" s="92"/>
    </row>
    <row r="61" spans="2:36" ht="12.95" customHeight="1" x14ac:dyDescent="0.2">
      <c r="B61" s="216"/>
      <c r="C61" s="238"/>
      <c r="D61" s="219"/>
      <c r="E61" s="222"/>
      <c r="F61" s="165"/>
      <c r="G61" s="156"/>
      <c r="H61" s="156"/>
      <c r="I61" s="156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66" t="s">
        <v>75</v>
      </c>
      <c r="V61" s="171">
        <f>SUM(F61:U61)</f>
        <v>0</v>
      </c>
      <c r="W61" s="225"/>
      <c r="X61" s="186"/>
      <c r="Y61" s="142"/>
      <c r="Z61" s="143"/>
      <c r="AA61" s="142"/>
      <c r="AB61" s="142"/>
      <c r="AC61" s="187"/>
      <c r="AD61" s="145" t="str">
        <f>IF(SUMPRODUCT(--ISNUMBER(SEARCH("ОТ",F60:U63)))&gt;0,"ОТ","")</f>
        <v/>
      </c>
      <c r="AE61" s="146" t="str">
        <f t="array" ref="AE61">IF(AD61="","",SUMPRODUCT(($F$16:$U$19=AD61)*(IFERROR(WEEKDAY($F$11:$U$14,2),7)&lt;6)*(ISNA(MATCH($F$11:$U$14,празд,0))))&amp;"("&amp;SUMPRODUCT(($F$16:$U$19=AD61)*(IFERROR(WEEKDAY($F$11:$U$14,2),7)&lt;6)*(ISNA(MATCH($F$11:$U$14,празд,0))))*8&amp;")")</f>
        <v/>
      </c>
      <c r="AF61" s="227"/>
      <c r="AG61" s="227"/>
      <c r="AH61" s="127" t="str">
        <f>IF(AF61="","",COUNTIF(F60:U63,AF61))</f>
        <v/>
      </c>
      <c r="AI61" s="93"/>
      <c r="AJ61" s="93"/>
    </row>
    <row r="62" spans="2:36" ht="12.95" customHeight="1" x14ac:dyDescent="0.2">
      <c r="B62" s="216"/>
      <c r="C62" s="238" t="str">
        <f>График!C18</f>
        <v>Электромеханик</v>
      </c>
      <c r="D62" s="219"/>
      <c r="E62" s="222"/>
      <c r="F62" s="165"/>
      <c r="G62" s="156"/>
      <c r="H62" s="156"/>
      <c r="I62" s="156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67" t="str">
        <f>IF(U$13="","",IF(AND(U$13&gt;=$AI62,U$13&lt;=$AJ62)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62" s="172">
        <f>COUNTIF(F62:U62,"Я")*1+COUNTIF(F62:U62,"РВ")*1</f>
        <v>0</v>
      </c>
      <c r="W62" s="228">
        <f>SUM(V63,V61)</f>
        <v>0</v>
      </c>
      <c r="X62" s="186"/>
      <c r="Y62" s="142"/>
      <c r="Z62" s="143"/>
      <c r="AA62" s="142"/>
      <c r="AB62" s="142"/>
      <c r="AC62" s="187"/>
      <c r="AD62" s="145" t="str">
        <f>IF(SUMPRODUCT(--ISNUMBER(SEARCH("б",F60:U63)))&gt;0,"Б","")</f>
        <v/>
      </c>
      <c r="AE62" s="146" t="str">
        <f t="array" ref="AE62">IF(AD62="","",SUMPRODUCT(($F$16:$U$19=AD62)*(IFERROR(WEEKDAY($F$11:$U$14,2),7)&lt;6)*(ISNA(MATCH($F$11:$U$14,празд,0))))&amp;"("&amp;SUMPRODUCT(($F$16:$U$19=AD62)*(IFERROR(WEEKDAY($F$11:$U$14,2),7)&lt;6)*(ISNA(MATCH($F$11:$U$14,празд,0))))*8&amp;")")</f>
        <v/>
      </c>
      <c r="AF62" s="230"/>
      <c r="AG62" s="230"/>
      <c r="AH62" s="125"/>
      <c r="AI62" s="93"/>
      <c r="AJ62" s="93"/>
    </row>
    <row r="63" spans="2:36" ht="12.95" customHeight="1" thickBot="1" x14ac:dyDescent="0.25">
      <c r="B63" s="217"/>
      <c r="C63" s="239"/>
      <c r="D63" s="220"/>
      <c r="E63" s="223"/>
      <c r="F63" s="168"/>
      <c r="G63" s="160"/>
      <c r="H63" s="160"/>
      <c r="I63" s="160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9" t="str">
        <f>IF(U62="Я",(IF(U$13="","",IF(AND(U$13&gt;=$AI63,U$13&lt;=$AJ63),"Р",IF(NOT(ISERROR(VLOOKUP(U$13,предпр,1,0)=U$13)),$E60*8-1,IF(NOT(ISERROR(VLOOKUP(U$13,выхрабд,1,0)=U$13)),$E60*8,IF(OR(WEEKDAY(U$13,2)&gt;5,ISNUMBER(MATCH(U$13,празд,0)),SUMPRODUCT(1*(U$13=допнер))),"",IF(WEEKDAY(U$13,2)&lt;6,$E60*8))))))),"")</f>
        <v/>
      </c>
      <c r="V63" s="173">
        <f>SUM(F63:U63)</f>
        <v>0</v>
      </c>
      <c r="W63" s="229"/>
      <c r="X63" s="188"/>
      <c r="Y63" s="149"/>
      <c r="Z63" s="150"/>
      <c r="AA63" s="149"/>
      <c r="AB63" s="149"/>
      <c r="AC63" s="189"/>
      <c r="AD63" s="147" t="str">
        <f>IF(SUMPRODUCT(--ISNUMBER(SEARCH("ОД",F60:U63)))&gt;0,"ОД","")</f>
        <v/>
      </c>
      <c r="AE63" s="152" t="str">
        <f t="array" ref="AE63">IF(AD63="","",SUMPRODUCT(($F$16:$U$19=AD63)*(IFERROR(WEEKDAY($F$11:$U$14,2),7)&lt;6)*(ISNA(MATCH($F$11:$U$14,празд,0))))&amp;"("&amp;SUMPRODUCT(($F$16:$U$19=AD63)*(IFERROR(WEEKDAY($F$11:$U$14,2),7)&lt;6)*(ISNA(MATCH($F$11:$U$14,празд,0))))*8&amp;")")</f>
        <v/>
      </c>
      <c r="AF63" s="231"/>
      <c r="AG63" s="231"/>
      <c r="AH63" s="128"/>
      <c r="AI63" s="93"/>
      <c r="AJ63" s="93"/>
    </row>
    <row r="64" spans="2:36" ht="12.95" customHeight="1" x14ac:dyDescent="0.2">
      <c r="B64" s="215" t="s">
        <v>90</v>
      </c>
      <c r="C64" s="237">
        <f>График!B15</f>
        <v>0</v>
      </c>
      <c r="D64" s="218">
        <f>График!A15</f>
        <v>1925206</v>
      </c>
      <c r="E64" s="221" t="s">
        <v>74</v>
      </c>
      <c r="F64" s="163"/>
      <c r="G64" s="153"/>
      <c r="H64" s="153"/>
      <c r="I64" s="153"/>
      <c r="J64" s="154"/>
      <c r="K64" s="154"/>
      <c r="L64" s="154"/>
      <c r="M64" s="154"/>
      <c r="N64" s="154"/>
      <c r="O64" s="154"/>
      <c r="P64" s="154"/>
      <c r="Q64" s="154"/>
      <c r="R64" s="154"/>
      <c r="S64" s="154"/>
      <c r="T64" s="154"/>
      <c r="U64" s="164" t="s">
        <v>75</v>
      </c>
      <c r="V64" s="170">
        <f>COUNTIF(F64:U64,"Я")*1+COUNTIF(F64:U64,"РВ")*1</f>
        <v>0</v>
      </c>
      <c r="W64" s="224">
        <f>SUM(V66,V64)</f>
        <v>0</v>
      </c>
      <c r="X64" s="184"/>
      <c r="Y64" s="134"/>
      <c r="Z64" s="135"/>
      <c r="AA64" s="135"/>
      <c r="AB64" s="134"/>
      <c r="AC64" s="185"/>
      <c r="AD64" s="132" t="str">
        <f>IF(SUMPRODUCT(--ISNUMBER(SEARCH("В",F64:U67)))&gt;0,"В","")</f>
        <v/>
      </c>
      <c r="AE64" s="137" t="str">
        <f>IF(AD64="","",COUNTIF(F64:U67,AD64))&amp;"("&amp;IF(AD64="","",COUNTIF(F64:U67,"в")*8)&amp;")"</f>
        <v>()</v>
      </c>
      <c r="AF64" s="226" t="str">
        <f>IF(SUMPRODUCT(--ISNUMBER(SEARCH("К",F64:U67)))&gt;0,"К","")</f>
        <v/>
      </c>
      <c r="AG64" s="226"/>
      <c r="AH64" s="126" t="str">
        <f t="array" ref="AH64">IF(AF64="","",SUMPRODUCT(($F$16:$U$19=AF64)*(IFERROR(WEEKDAY($F$11:$U$14,2),7)&lt;6)*(ISNA(MATCH($F$11:$U$14,празд,0))))&amp;"("&amp;SUMPRODUCT(($F$16:$U$19=AF64)*(IFERROR(WEEKDAY($F$11:$U$14,2),7)&lt;6)*(ISNA(MATCH($F$11:$U$14,празд,0))))*8&amp;")")</f>
        <v/>
      </c>
      <c r="AI64" s="93"/>
      <c r="AJ64" s="93"/>
    </row>
    <row r="65" spans="2:36" ht="12.95" customHeight="1" x14ac:dyDescent="0.2">
      <c r="B65" s="216"/>
      <c r="C65" s="238"/>
      <c r="D65" s="219"/>
      <c r="E65" s="222"/>
      <c r="F65" s="165"/>
      <c r="G65" s="156"/>
      <c r="H65" s="156"/>
      <c r="I65" s="156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66" t="s">
        <v>75</v>
      </c>
      <c r="V65" s="171">
        <f>SUM(F65:U65)</f>
        <v>0</v>
      </c>
      <c r="W65" s="225"/>
      <c r="X65" s="186"/>
      <c r="Y65" s="142"/>
      <c r="Z65" s="143"/>
      <c r="AA65" s="142"/>
      <c r="AB65" s="142"/>
      <c r="AC65" s="187"/>
      <c r="AD65" s="145" t="str">
        <f>IF(SUMPRODUCT(--ISNUMBER(SEARCH("ОТ",F64:U67)))&gt;0,"ОТ","")</f>
        <v/>
      </c>
      <c r="AE65" s="146" t="str">
        <f t="array" ref="AE65">IF(AD65="","",SUMPRODUCT(($F$16:$U$19=AD65)*(IFERROR(WEEKDAY($F$11:$U$14,2),7)&lt;6)*(ISNA(MATCH($F$11:$U$14,празд,0))))&amp;"("&amp;SUMPRODUCT(($F$16:$U$19=AD65)*(IFERROR(WEEKDAY($F$11:$U$14,2),7)&lt;6)*(ISNA(MATCH($F$11:$U$14,празд,0))))*8&amp;")")</f>
        <v/>
      </c>
      <c r="AF65" s="227"/>
      <c r="AG65" s="227"/>
      <c r="AH65" s="127" t="str">
        <f>IF(AF65="","",COUNTIF(F64:U67,AF65))</f>
        <v/>
      </c>
      <c r="AI65" s="93"/>
      <c r="AJ65" s="93"/>
    </row>
    <row r="66" spans="2:36" ht="12.95" customHeight="1" x14ac:dyDescent="0.2">
      <c r="B66" s="216"/>
      <c r="C66" s="238" t="str">
        <f>График!C15</f>
        <v>Телефонист</v>
      </c>
      <c r="D66" s="219"/>
      <c r="E66" s="222"/>
      <c r="F66" s="165"/>
      <c r="G66" s="156"/>
      <c r="H66" s="156"/>
      <c r="I66" s="156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67" t="str">
        <f>IF(U$13="","",IF(AND(U$13&gt;=$AI66,U$13&lt;=$AJ66)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66" s="172">
        <f>COUNTIF(F66:U66,"Я")*1+COUNTIF(F66:U66,"РВ")*1</f>
        <v>0</v>
      </c>
      <c r="W66" s="228">
        <f>SUM(V67,V65)</f>
        <v>0</v>
      </c>
      <c r="X66" s="186"/>
      <c r="Y66" s="142"/>
      <c r="Z66" s="143"/>
      <c r="AA66" s="142"/>
      <c r="AB66" s="142"/>
      <c r="AC66" s="187"/>
      <c r="AD66" s="145" t="str">
        <f>IF(SUMPRODUCT(--ISNUMBER(SEARCH("б",F64:U67)))&gt;0,"Б","")</f>
        <v/>
      </c>
      <c r="AE66" s="146" t="str">
        <f t="array" ref="AE66">IF(AD66="","",SUMPRODUCT(($F$16:$U$19=AD66)*(IFERROR(WEEKDAY($F$11:$U$14,2),7)&lt;6)*(ISNA(MATCH($F$11:$U$14,празд,0))))&amp;"("&amp;SUMPRODUCT(($F$16:$U$19=AD66)*(IFERROR(WEEKDAY($F$11:$U$14,2),7)&lt;6)*(ISNA(MATCH($F$11:$U$14,празд,0))))*8&amp;")")</f>
        <v/>
      </c>
      <c r="AF66" s="230"/>
      <c r="AG66" s="230"/>
      <c r="AH66" s="125"/>
      <c r="AI66" s="93"/>
      <c r="AJ66" s="93"/>
    </row>
    <row r="67" spans="2:36" ht="12.95" customHeight="1" thickBot="1" x14ac:dyDescent="0.25">
      <c r="B67" s="217"/>
      <c r="C67" s="239"/>
      <c r="D67" s="220"/>
      <c r="E67" s="223"/>
      <c r="F67" s="168"/>
      <c r="G67" s="160"/>
      <c r="H67" s="160"/>
      <c r="I67" s="160"/>
      <c r="J67" s="161"/>
      <c r="K67" s="161"/>
      <c r="L67" s="161"/>
      <c r="M67" s="161"/>
      <c r="N67" s="161"/>
      <c r="O67" s="161"/>
      <c r="P67" s="161"/>
      <c r="Q67" s="161"/>
      <c r="R67" s="161"/>
      <c r="S67" s="161"/>
      <c r="T67" s="161"/>
      <c r="U67" s="169" t="str">
        <f>IF(U66="Я",(IF(U$13="","",IF(AND(U$13&gt;=$AI67,U$13&lt;=$AJ67),"Р",IF(NOT(ISERROR(VLOOKUP(U$13,предпр,1,0)=U$13)),$E64*8-1,IF(NOT(ISERROR(VLOOKUP(U$13,выхрабд,1,0)=U$13)),$E64*8,IF(OR(WEEKDAY(U$13,2)&gt;5,ISNUMBER(MATCH(U$13,празд,0)),SUMPRODUCT(1*(U$13=допнер))),"",IF(WEEKDAY(U$13,2)&lt;6,$E64*8))))))),"")</f>
        <v/>
      </c>
      <c r="V67" s="173">
        <f>SUM(F67:U67)</f>
        <v>0</v>
      </c>
      <c r="W67" s="229"/>
      <c r="X67" s="188"/>
      <c r="Y67" s="149"/>
      <c r="Z67" s="150"/>
      <c r="AA67" s="149"/>
      <c r="AB67" s="149"/>
      <c r="AC67" s="189"/>
      <c r="AD67" s="147" t="str">
        <f>IF(SUMPRODUCT(--ISNUMBER(SEARCH("ОД",F64:U67)))&gt;0,"ОД","")</f>
        <v/>
      </c>
      <c r="AE67" s="152" t="str">
        <f t="array" ref="AE67">IF(AD67="","",SUMPRODUCT(($F$16:$U$19=AD67)*(IFERROR(WEEKDAY($F$11:$U$14,2),7)&lt;6)*(ISNA(MATCH($F$11:$U$14,празд,0))))&amp;"("&amp;SUMPRODUCT(($F$16:$U$19=AD67)*(IFERROR(WEEKDAY($F$11:$U$14,2),7)&lt;6)*(ISNA(MATCH($F$11:$U$14,празд,0))))*8&amp;")")</f>
        <v/>
      </c>
      <c r="AF67" s="231"/>
      <c r="AG67" s="231"/>
      <c r="AH67" s="128"/>
      <c r="AI67" s="93"/>
      <c r="AJ67" s="93"/>
    </row>
    <row r="68" spans="2:36" ht="12.95" customHeight="1" x14ac:dyDescent="0.2">
      <c r="B68" s="215" t="s">
        <v>91</v>
      </c>
      <c r="C68" s="237">
        <f>График!B12</f>
        <v>0</v>
      </c>
      <c r="D68" s="218">
        <f>График!A12</f>
        <v>1912103</v>
      </c>
      <c r="E68" s="221" t="s">
        <v>74</v>
      </c>
      <c r="F68" s="163"/>
      <c r="G68" s="153"/>
      <c r="H68" s="153"/>
      <c r="I68" s="153"/>
      <c r="J68" s="154"/>
      <c r="K68" s="154"/>
      <c r="L68" s="154"/>
      <c r="M68" s="154"/>
      <c r="N68" s="154"/>
      <c r="O68" s="154"/>
      <c r="P68" s="154"/>
      <c r="Q68" s="154"/>
      <c r="R68" s="154"/>
      <c r="S68" s="154"/>
      <c r="T68" s="154"/>
      <c r="U68" s="164" t="s">
        <v>75</v>
      </c>
      <c r="V68" s="170">
        <f>COUNTIF(F68:U68,"Я")*1+COUNTIF(F68:U68,"РВ")*1</f>
        <v>0</v>
      </c>
      <c r="W68" s="224">
        <f>SUM(V70,V68)</f>
        <v>0</v>
      </c>
      <c r="X68" s="184"/>
      <c r="Y68" s="134"/>
      <c r="Z68" s="135"/>
      <c r="AA68" s="135"/>
      <c r="AB68" s="134"/>
      <c r="AC68" s="185"/>
      <c r="AD68" s="132" t="str">
        <f>IF(SUMPRODUCT(--ISNUMBER(SEARCH("В",F68:U71)))&gt;0,"В","")</f>
        <v/>
      </c>
      <c r="AE68" s="137" t="str">
        <f>IF(AD68="","",COUNTIF(F68:U71,AD68))&amp;"("&amp;IF(AD68="","",COUNTIF(F68:U71,"в")*8)&amp;")"</f>
        <v>()</v>
      </c>
      <c r="AF68" s="226" t="str">
        <f>IF(SUMPRODUCT(--ISNUMBER(SEARCH("К",F68:U71)))&gt;0,"К","")</f>
        <v/>
      </c>
      <c r="AG68" s="226"/>
      <c r="AH68" s="126" t="str">
        <f t="array" ref="AH68">IF(AF68="","",SUMPRODUCT(($F$16:$U$19=AF68)*(IFERROR(WEEKDAY($F$11:$U$14,2),7)&lt;6)*(ISNA(MATCH($F$11:$U$14,празд,0))))&amp;"("&amp;SUMPRODUCT(($F$16:$U$19=AF68)*(IFERROR(WEEKDAY($F$11:$U$14,2),7)&lt;6)*(ISNA(MATCH($F$11:$U$14,празд,0))))*8&amp;")")</f>
        <v/>
      </c>
      <c r="AI68" s="93"/>
      <c r="AJ68" s="93"/>
    </row>
    <row r="69" spans="2:36" ht="12.95" customHeight="1" x14ac:dyDescent="0.2">
      <c r="B69" s="216"/>
      <c r="C69" s="238"/>
      <c r="D69" s="219"/>
      <c r="E69" s="222"/>
      <c r="F69" s="165"/>
      <c r="G69" s="156"/>
      <c r="H69" s="156"/>
      <c r="I69" s="156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66" t="s">
        <v>75</v>
      </c>
      <c r="V69" s="171">
        <f>SUM(F69:U69)</f>
        <v>0</v>
      </c>
      <c r="W69" s="225"/>
      <c r="X69" s="186"/>
      <c r="Y69" s="142"/>
      <c r="Z69" s="143"/>
      <c r="AA69" s="142"/>
      <c r="AB69" s="142"/>
      <c r="AC69" s="187"/>
      <c r="AD69" s="145" t="str">
        <f>IF(SUMPRODUCT(--ISNUMBER(SEARCH("ОТ",F68:U71)))&gt;0,"ОТ","")</f>
        <v/>
      </c>
      <c r="AE69" s="146" t="str">
        <f t="array" ref="AE69">IF(AD69="","",SUMPRODUCT(($F$16:$U$19=AD69)*(IFERROR(WEEKDAY($F$11:$U$14,2),7)&lt;6)*(ISNA(MATCH($F$11:$U$14,празд,0))))&amp;"("&amp;SUMPRODUCT(($F$16:$U$19=AD69)*(IFERROR(WEEKDAY($F$11:$U$14,2),7)&lt;6)*(ISNA(MATCH($F$11:$U$14,празд,0))))*8&amp;")")</f>
        <v/>
      </c>
      <c r="AF69" s="227"/>
      <c r="AG69" s="227"/>
      <c r="AH69" s="127" t="str">
        <f>IF(AF69="","",COUNTIF(F68:U71,AF69))</f>
        <v/>
      </c>
      <c r="AI69" s="93"/>
      <c r="AJ69" s="93"/>
    </row>
    <row r="70" spans="2:36" ht="12.95" customHeight="1" x14ac:dyDescent="0.2">
      <c r="B70" s="216"/>
      <c r="C70" s="238" t="str">
        <f>График!C12</f>
        <v>Электромеханик</v>
      </c>
      <c r="D70" s="219"/>
      <c r="E70" s="222"/>
      <c r="F70" s="165"/>
      <c r="G70" s="156"/>
      <c r="H70" s="156"/>
      <c r="I70" s="156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67" t="str">
        <f>IF(U$13="","",IF(AND(U$13&gt;=$AI70,U$13&lt;=$AJ70)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70" s="172">
        <f>COUNTIF(F70:U70,"Я")*1+COUNTIF(F70:U70,"РВ")*1</f>
        <v>0</v>
      </c>
      <c r="W70" s="228">
        <f>SUM(V71,V69)</f>
        <v>0</v>
      </c>
      <c r="X70" s="186"/>
      <c r="Y70" s="142"/>
      <c r="Z70" s="143"/>
      <c r="AA70" s="142"/>
      <c r="AB70" s="142"/>
      <c r="AC70" s="187"/>
      <c r="AD70" s="145" t="str">
        <f>IF(SUMPRODUCT(--ISNUMBER(SEARCH("б",F68:U71)))&gt;0,"Б","")</f>
        <v/>
      </c>
      <c r="AE70" s="146" t="str">
        <f t="array" ref="AE70">IF(AD70="","",SUMPRODUCT(($F$16:$U$19=AD70)*(IFERROR(WEEKDAY($F$11:$U$14,2),7)&lt;6)*(ISNA(MATCH($F$11:$U$14,празд,0))))&amp;"("&amp;SUMPRODUCT(($F$16:$U$19=AD70)*(IFERROR(WEEKDAY($F$11:$U$14,2),7)&lt;6)*(ISNA(MATCH($F$11:$U$14,празд,0))))*8&amp;")")</f>
        <v/>
      </c>
      <c r="AF70" s="230"/>
      <c r="AG70" s="230"/>
      <c r="AH70" s="125"/>
      <c r="AI70" s="93"/>
      <c r="AJ70" s="93"/>
    </row>
    <row r="71" spans="2:36" ht="12.95" customHeight="1" thickBot="1" x14ac:dyDescent="0.25">
      <c r="B71" s="217"/>
      <c r="C71" s="239"/>
      <c r="D71" s="220"/>
      <c r="E71" s="223"/>
      <c r="F71" s="168"/>
      <c r="G71" s="160"/>
      <c r="H71" s="160"/>
      <c r="I71" s="160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9" t="str">
        <f>IF(U70="Я",(IF(U$13="","",IF(AND(U$13&gt;=$AI71,U$13&lt;=$AJ71),"Р",IF(NOT(ISERROR(VLOOKUP(U$13,предпр,1,0)=U$13)),$E68*8-1,IF(NOT(ISERROR(VLOOKUP(U$13,выхрабд,1,0)=U$13)),$E68*8,IF(OR(WEEKDAY(U$13,2)&gt;5,ISNUMBER(MATCH(U$13,празд,0)),SUMPRODUCT(1*(U$13=допнер))),"",IF(WEEKDAY(U$13,2)&lt;6,$E68*8))))))),"")</f>
        <v/>
      </c>
      <c r="V71" s="173">
        <f>SUM(F71:U71)</f>
        <v>0</v>
      </c>
      <c r="W71" s="229"/>
      <c r="X71" s="188"/>
      <c r="Y71" s="149"/>
      <c r="Z71" s="150"/>
      <c r="AA71" s="149"/>
      <c r="AB71" s="149"/>
      <c r="AC71" s="189"/>
      <c r="AD71" s="147" t="str">
        <f>IF(SUMPRODUCT(--ISNUMBER(SEARCH("ОД",F68:U71)))&gt;0,"ОД","")</f>
        <v/>
      </c>
      <c r="AE71" s="152" t="str">
        <f t="array" ref="AE71">IF(AD71="","",SUMPRODUCT(($F$16:$U$19=AD71)*(IFERROR(WEEKDAY($F$11:$U$14,2),7)&lt;6)*(ISNA(MATCH($F$11:$U$14,празд,0))))&amp;"("&amp;SUMPRODUCT(($F$16:$U$19=AD71)*(IFERROR(WEEKDAY($F$11:$U$14,2),7)&lt;6)*(ISNA(MATCH($F$11:$U$14,празд,0))))*8&amp;")")</f>
        <v/>
      </c>
      <c r="AF71" s="231"/>
      <c r="AG71" s="231"/>
      <c r="AH71" s="128"/>
      <c r="AI71" s="93"/>
      <c r="AJ71" s="93"/>
    </row>
    <row r="72" spans="2:36" ht="12.95" customHeight="1" x14ac:dyDescent="0.2">
      <c r="B72" s="215" t="s">
        <v>92</v>
      </c>
      <c r="C72" s="237">
        <f>График!B14</f>
        <v>0</v>
      </c>
      <c r="D72" s="218">
        <f>График!A14</f>
        <v>1912114</v>
      </c>
      <c r="E72" s="221" t="s">
        <v>74</v>
      </c>
      <c r="F72" s="163"/>
      <c r="G72" s="153"/>
      <c r="H72" s="153"/>
      <c r="I72" s="153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64" t="s">
        <v>75</v>
      </c>
      <c r="V72" s="170">
        <f>COUNTIF(F72:U72,"Я")*1+COUNTIF(F72:U72,"РВ")*1</f>
        <v>0</v>
      </c>
      <c r="W72" s="224">
        <f>SUM(V74,V72)</f>
        <v>0</v>
      </c>
      <c r="X72" s="184"/>
      <c r="Y72" s="134"/>
      <c r="Z72" s="135"/>
      <c r="AA72" s="135"/>
      <c r="AB72" s="134"/>
      <c r="AC72" s="185"/>
      <c r="AD72" s="132" t="str">
        <f>IF(SUMPRODUCT(--ISNUMBER(SEARCH("В",F72:U75)))&gt;0,"В","")</f>
        <v/>
      </c>
      <c r="AE72" s="137" t="str">
        <f>IF(AD72="","",COUNTIF(F72:U75,AD72))&amp;"("&amp;IF(AD72="","",COUNTIF(F72:U75,"в")*8)&amp;")"</f>
        <v>()</v>
      </c>
      <c r="AF72" s="226" t="str">
        <f>IF(SUMPRODUCT(--ISNUMBER(SEARCH("К",F72:U75)))&gt;0,"К","")</f>
        <v/>
      </c>
      <c r="AG72" s="226"/>
      <c r="AH72" s="126" t="str">
        <f t="array" ref="AH72">IF(AF72="","",SUMPRODUCT(($F$16:$U$19=AF72)*(IFERROR(WEEKDAY($F$11:$U$14,2),7)&lt;6)*(ISNA(MATCH($F$11:$U$14,празд,0))))&amp;"("&amp;SUMPRODUCT(($F$16:$U$19=AF72)*(IFERROR(WEEKDAY($F$11:$U$14,2),7)&lt;6)*(ISNA(MATCH($F$11:$U$14,празд,0))))*8&amp;")")</f>
        <v/>
      </c>
      <c r="AI72" s="93"/>
      <c r="AJ72" s="93"/>
    </row>
    <row r="73" spans="2:36" ht="12.95" customHeight="1" x14ac:dyDescent="0.2">
      <c r="B73" s="216"/>
      <c r="C73" s="238"/>
      <c r="D73" s="219"/>
      <c r="E73" s="222"/>
      <c r="F73" s="165"/>
      <c r="G73" s="156"/>
      <c r="H73" s="156"/>
      <c r="I73" s="156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66" t="s">
        <v>75</v>
      </c>
      <c r="V73" s="171">
        <f>SUM(F73:U73)</f>
        <v>0</v>
      </c>
      <c r="W73" s="225"/>
      <c r="X73" s="186"/>
      <c r="Y73" s="142"/>
      <c r="Z73" s="143"/>
      <c r="AA73" s="142"/>
      <c r="AB73" s="142"/>
      <c r="AC73" s="187"/>
      <c r="AD73" s="145" t="str">
        <f>IF(SUMPRODUCT(--ISNUMBER(SEARCH("ОТ",F72:U75)))&gt;0,"ОТ","")</f>
        <v/>
      </c>
      <c r="AE73" s="146" t="str">
        <f t="array" ref="AE73">IF(AD73="","",SUMPRODUCT(($F$16:$U$19=AD73)*(IFERROR(WEEKDAY($F$11:$U$14,2),7)&lt;6)*(ISNA(MATCH($F$11:$U$14,празд,0))))&amp;"("&amp;SUMPRODUCT(($F$16:$U$19=AD73)*(IFERROR(WEEKDAY($F$11:$U$14,2),7)&lt;6)*(ISNA(MATCH($F$11:$U$14,празд,0))))*8&amp;")")</f>
        <v/>
      </c>
      <c r="AF73" s="227"/>
      <c r="AG73" s="227"/>
      <c r="AH73" s="127" t="str">
        <f>IF(AF73="","",COUNTIF(F72:U75,AF73))</f>
        <v/>
      </c>
      <c r="AI73" s="93"/>
      <c r="AJ73" s="93"/>
    </row>
    <row r="74" spans="2:36" ht="12.95" customHeight="1" x14ac:dyDescent="0.2">
      <c r="B74" s="216"/>
      <c r="C74" s="238" t="str">
        <f>График!C14</f>
        <v>Электромонтер</v>
      </c>
      <c r="D74" s="219"/>
      <c r="E74" s="222"/>
      <c r="F74" s="165"/>
      <c r="G74" s="156"/>
      <c r="H74" s="156"/>
      <c r="I74" s="156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67" t="str">
        <f>IF(U$13="","",IF(AND(U$13&gt;=$AI74,U$13&lt;=$AJ74)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74" s="172">
        <f>COUNTIF(F74:U74,"Я")*1+COUNTIF(F74:U74,"РВ")*1</f>
        <v>0</v>
      </c>
      <c r="W74" s="228">
        <f>SUM(V75,V73)</f>
        <v>0</v>
      </c>
      <c r="X74" s="186"/>
      <c r="Y74" s="142"/>
      <c r="Z74" s="143"/>
      <c r="AA74" s="142"/>
      <c r="AB74" s="142"/>
      <c r="AC74" s="187"/>
      <c r="AD74" s="145" t="str">
        <f>IF(SUMPRODUCT(--ISNUMBER(SEARCH("б",F72:U75)))&gt;0,"Б","")</f>
        <v/>
      </c>
      <c r="AE74" s="146" t="str">
        <f t="array" ref="AE74">IF(AD74="","",SUMPRODUCT(($F$16:$U$19=AD74)*(IFERROR(WEEKDAY($F$11:$U$14,2),7)&lt;6)*(ISNA(MATCH($F$11:$U$14,празд,0))))&amp;"("&amp;SUMPRODUCT(($F$16:$U$19=AD74)*(IFERROR(WEEKDAY($F$11:$U$14,2),7)&lt;6)*(ISNA(MATCH($F$11:$U$14,празд,0))))*8&amp;")")</f>
        <v/>
      </c>
      <c r="AF74" s="230"/>
      <c r="AG74" s="230"/>
      <c r="AH74" s="125"/>
      <c r="AI74" s="93"/>
      <c r="AJ74" s="93"/>
    </row>
    <row r="75" spans="2:36" ht="12.95" customHeight="1" thickBot="1" x14ac:dyDescent="0.25">
      <c r="B75" s="217"/>
      <c r="C75" s="239"/>
      <c r="D75" s="220"/>
      <c r="E75" s="223"/>
      <c r="F75" s="168"/>
      <c r="G75" s="160"/>
      <c r="H75" s="160"/>
      <c r="I75" s="160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9" t="str">
        <f>IF(U74="Я",(IF(U$13="","",IF(AND(U$13&gt;=$AI75,U$13&lt;=$AJ75),"Р",IF(NOT(ISERROR(VLOOKUP(U$13,предпр,1,0)=U$13)),$E72*8-1,IF(NOT(ISERROR(VLOOKUP(U$13,выхрабд,1,0)=U$13)),$E72*8,IF(OR(WEEKDAY(U$13,2)&gt;5,ISNUMBER(MATCH(U$13,празд,0)),SUMPRODUCT(1*(U$13=допнер))),"",IF(WEEKDAY(U$13,2)&lt;6,$E72*8))))))),"")</f>
        <v/>
      </c>
      <c r="V75" s="173">
        <f>SUM(F75:U75)</f>
        <v>0</v>
      </c>
      <c r="W75" s="229"/>
      <c r="X75" s="188"/>
      <c r="Y75" s="149"/>
      <c r="Z75" s="150"/>
      <c r="AA75" s="149"/>
      <c r="AB75" s="149"/>
      <c r="AC75" s="189"/>
      <c r="AD75" s="147" t="str">
        <f>IF(SUMPRODUCT(--ISNUMBER(SEARCH("ОД",F72:U75)))&gt;0,"ОД","")</f>
        <v/>
      </c>
      <c r="AE75" s="152" t="str">
        <f t="array" ref="AE75">IF(AD75="","",SUMPRODUCT(($F$16:$U$19=AD75)*(IFERROR(WEEKDAY($F$11:$U$14,2),7)&lt;6)*(ISNA(MATCH($F$11:$U$14,празд,0))))&amp;"("&amp;SUMPRODUCT(($F$16:$U$19=AD75)*(IFERROR(WEEKDAY($F$11:$U$14,2),7)&lt;6)*(ISNA(MATCH($F$11:$U$14,празд,0))))*8&amp;")")</f>
        <v/>
      </c>
      <c r="AF75" s="231"/>
      <c r="AG75" s="231"/>
      <c r="AH75" s="128"/>
      <c r="AI75" s="93"/>
      <c r="AJ75" s="93"/>
    </row>
    <row r="76" spans="2:36" ht="12.95" customHeight="1" x14ac:dyDescent="0.2">
      <c r="B76" s="215" t="s">
        <v>93</v>
      </c>
      <c r="C76" s="237" t="str">
        <f>График!B8</f>
        <v>Петров</v>
      </c>
      <c r="D76" s="218">
        <f>График!A8</f>
        <v>1902910</v>
      </c>
      <c r="E76" s="221" t="s">
        <v>74</v>
      </c>
      <c r="F76" s="163" t="s">
        <v>101</v>
      </c>
      <c r="G76" s="163" t="s">
        <v>101</v>
      </c>
      <c r="H76" s="153" t="s">
        <v>100</v>
      </c>
      <c r="I76" s="153" t="s">
        <v>101</v>
      </c>
      <c r="J76" s="153" t="s">
        <v>101</v>
      </c>
      <c r="K76" s="153" t="s">
        <v>101</v>
      </c>
      <c r="L76" s="153" t="s">
        <v>101</v>
      </c>
      <c r="M76" s="153" t="s">
        <v>111</v>
      </c>
      <c r="N76" s="153" t="s">
        <v>111</v>
      </c>
      <c r="O76" s="153" t="s">
        <v>111</v>
      </c>
      <c r="P76" s="153" t="s">
        <v>111</v>
      </c>
      <c r="Q76" s="153" t="s">
        <v>111</v>
      </c>
      <c r="R76" s="153" t="s">
        <v>111</v>
      </c>
      <c r="S76" s="153" t="s">
        <v>111</v>
      </c>
      <c r="T76" s="153" t="s">
        <v>111</v>
      </c>
      <c r="U76" s="164" t="s">
        <v>75</v>
      </c>
      <c r="V76" s="170">
        <f>COUNTIF(F76:U76,"Я")*1+COUNTIF(F76:U76,"РВ")*1</f>
        <v>0</v>
      </c>
      <c r="W76" s="224">
        <f>SUM(V78,V76)</f>
        <v>0</v>
      </c>
      <c r="X76" s="184"/>
      <c r="Y76" s="134"/>
      <c r="Z76" s="135"/>
      <c r="AA76" s="135"/>
      <c r="AB76" s="134"/>
      <c r="AC76" s="185"/>
      <c r="AD76" s="132" t="str">
        <f>IF(SUMPRODUCT(--ISNUMBER(SEARCH("В",F76:U79)))&gt;0,"В","")</f>
        <v>В</v>
      </c>
      <c r="AE76" s="137" t="str">
        <f t="array" ref="AE76">IF(AD76="","",COUNTIF(F76:U79,AD76))&amp;"("&amp;IF(AD76="","",COUNTIF(F76:U79,"в")*8)&amp;")"</f>
        <v>2(16)</v>
      </c>
      <c r="AF76" s="226" t="str">
        <f>IF(SUMPRODUCT(--ISNUMBER(SEARCH("К",F76:U79)))&gt;0,"К","")</f>
        <v/>
      </c>
      <c r="AG76" s="226"/>
      <c r="AH76" s="126" t="str">
        <f t="array" ref="AH76">IF(AF76="","",SUMPRODUCT(($F$16:$U$19=AF76)*(IFERROR(WEEKDAY($F$11:$U$14,2),7)&lt;6)*(ISNA(MATCH($F$11:$U$14,празд,0))))&amp;"("&amp;SUMPRODUCT(($F$16:$U$19=AF76)*(IFERROR(WEEKDAY($F$11:$U$14,2),7)&lt;6)*(ISNA(MATCH($F$11:$U$14,празд,0))))*8&amp;")")</f>
        <v/>
      </c>
      <c r="AI76" s="93"/>
      <c r="AJ76" s="93"/>
    </row>
    <row r="77" spans="2:36" ht="12.95" customHeight="1" thickBot="1" x14ac:dyDescent="0.25">
      <c r="B77" s="216"/>
      <c r="C77" s="238"/>
      <c r="D77" s="219"/>
      <c r="E77" s="222"/>
      <c r="F77" s="35">
        <f>График!D8</f>
        <v>11</v>
      </c>
      <c r="G77" s="35">
        <f>График!E8</f>
        <v>11</v>
      </c>
      <c r="H77" s="35" t="str">
        <f>График!F8</f>
        <v>в</v>
      </c>
      <c r="I77" s="35">
        <f>График!G8</f>
        <v>4</v>
      </c>
      <c r="J77" s="35" t="str">
        <f>График!H8</f>
        <v>7,5/4</v>
      </c>
      <c r="K77" s="35" t="str">
        <f>График!I8</f>
        <v>7,5/4</v>
      </c>
      <c r="L77" s="35">
        <f>График!J8</f>
        <v>8</v>
      </c>
      <c r="M77" s="35" t="str">
        <f>График!K8</f>
        <v>О</v>
      </c>
      <c r="N77" s="35" t="str">
        <f>График!L8</f>
        <v>О</v>
      </c>
      <c r="O77" s="35" t="str">
        <f>График!M8</f>
        <v>О</v>
      </c>
      <c r="P77" s="35" t="str">
        <f>График!N8</f>
        <v>О</v>
      </c>
      <c r="Q77" s="35" t="str">
        <f>График!O8</f>
        <v>О</v>
      </c>
      <c r="R77" s="35" t="str">
        <f>График!P8</f>
        <v>О</v>
      </c>
      <c r="S77" s="35" t="str">
        <f>График!Q8</f>
        <v>О</v>
      </c>
      <c r="T77" s="35" t="str">
        <f>График!R8</f>
        <v>О</v>
      </c>
      <c r="U77" s="166" t="s">
        <v>75</v>
      </c>
      <c r="V77" s="171">
        <f>SUM(F77:U77)</f>
        <v>34</v>
      </c>
      <c r="W77" s="225"/>
      <c r="X77" s="186"/>
      <c r="Y77" s="142"/>
      <c r="Z77" s="143"/>
      <c r="AA77" s="142"/>
      <c r="AB77" s="142"/>
      <c r="AC77" s="187"/>
      <c r="AD77" s="145" t="str">
        <f>IF(SUMPRODUCT(--ISNUMBER(SEARCH("ОТ",F76:U79)))&gt;0,"ОТ","")</f>
        <v>ОТ</v>
      </c>
      <c r="AE77" s="146" t="str">
        <f t="array" ref="AE77">IF(AD77="","",SUMPRODUCT(($F$16:$U$19=AD77)*(IFERROR(WEEKDAY($F$11:$U$14,2),7)&lt;6)*(ISNA(MATCH($F$11:$U$14,празд,0))))&amp;"("&amp;SUMPRODUCT(($F$16:$U$19=AD77)*(IFERROR(WEEKDAY($F$11:$U$14,2),7)&lt;6)*(ISNA(MATCH($F$11:$U$14,празд,0))))*8&amp;")")</f>
        <v>0(0)</v>
      </c>
      <c r="AF77" s="227"/>
      <c r="AG77" s="227"/>
      <c r="AH77" s="127" t="str">
        <f>IF(AF77="","",COUNTIF(F76:U79,AF77))</f>
        <v/>
      </c>
      <c r="AI77" s="93"/>
      <c r="AJ77" s="93"/>
    </row>
    <row r="78" spans="2:36" ht="12.95" customHeight="1" x14ac:dyDescent="0.2">
      <c r="B78" s="216"/>
      <c r="C78" s="238" t="str">
        <f>График!C8</f>
        <v>Начальник участка</v>
      </c>
      <c r="D78" s="219"/>
      <c r="E78" s="222"/>
      <c r="F78" s="153" t="s">
        <v>111</v>
      </c>
      <c r="G78" s="153" t="s">
        <v>111</v>
      </c>
      <c r="H78" s="153" t="s">
        <v>111</v>
      </c>
      <c r="I78" s="153" t="s">
        <v>111</v>
      </c>
      <c r="J78" s="153" t="s">
        <v>111</v>
      </c>
      <c r="K78" s="153" t="s">
        <v>111</v>
      </c>
      <c r="L78" s="153" t="s">
        <v>111</v>
      </c>
      <c r="M78" s="153" t="s">
        <v>111</v>
      </c>
      <c r="N78" s="153" t="s">
        <v>111</v>
      </c>
      <c r="O78" s="153" t="s">
        <v>111</v>
      </c>
      <c r="P78" s="153" t="s">
        <v>111</v>
      </c>
      <c r="Q78" s="153" t="s">
        <v>111</v>
      </c>
      <c r="R78" s="153" t="s">
        <v>111</v>
      </c>
      <c r="S78" s="153" t="s">
        <v>111</v>
      </c>
      <c r="T78" s="153" t="s">
        <v>111</v>
      </c>
      <c r="U78" s="167" t="str">
        <f>IF(U$13="","",IF(AND(U$13&gt;=$AI78,U$13&lt;=$AJ78),"Р",IF(NOT(ISERROR(VLOOKUP(U$13,предпр,1,0)=U$13)),"Я",IF(NOT(ISERROR(VLOOKUP(U$13,выхрабд,1,0)=U$13)),"Я",IF(OR(WEEKDAY(U$13,2)&gt;5,ISNUMBER(MATCH(U$13,празд,0)),SUMPRODUCT(1*(U$13=допнер))),"В",IF(WEEKDAY(U$13,2)&lt;6,"Я"))))))</f>
        <v/>
      </c>
      <c r="V78" s="172">
        <f>COUNTIF(F78:U78,"Я")*1+COUNTIF(F78:U78,"РВ")*1</f>
        <v>0</v>
      </c>
      <c r="W78" s="228">
        <f>SUM(V79,V77)</f>
        <v>34</v>
      </c>
      <c r="X78" s="186"/>
      <c r="Y78" s="142"/>
      <c r="Z78" s="143"/>
      <c r="AA78" s="142"/>
      <c r="AB78" s="142"/>
      <c r="AC78" s="187"/>
      <c r="AD78" s="145" t="str">
        <f>IF(SUMPRODUCT(--ISNUMBER(SEARCH("б",F76:U79)))&gt;0,"Б","")</f>
        <v/>
      </c>
      <c r="AE78" s="146" t="str">
        <f t="array" ref="AE78">IF(AD78="","",SUMPRODUCT(($F$16:$U$19=AD78)*(IFERROR(WEEKDAY($F$11:$U$14,2),7)&lt;6)*(ISNA(MATCH($F$11:$U$14,празд,0))))&amp;"("&amp;SUMPRODUCT(($F$16:$U$19=AD78)*(IFERROR(WEEKDAY($F$11:$U$14,2),7)&lt;6)*(ISNA(MATCH($F$11:$U$14,празд,0))))*8&amp;")")</f>
        <v/>
      </c>
      <c r="AF78" s="230"/>
      <c r="AG78" s="230"/>
      <c r="AH78" s="125"/>
      <c r="AI78" s="93"/>
      <c r="AJ78" s="93"/>
    </row>
    <row r="79" spans="2:36" ht="12.95" customHeight="1" thickBot="1" x14ac:dyDescent="0.25">
      <c r="B79" s="217"/>
      <c r="C79" s="239"/>
      <c r="D79" s="220"/>
      <c r="E79" s="223"/>
      <c r="F79" s="35" t="str">
        <f>График!S8</f>
        <v>О</v>
      </c>
      <c r="G79" s="35" t="str">
        <f>График!T8</f>
        <v>О</v>
      </c>
      <c r="H79" s="35" t="str">
        <f>График!U8</f>
        <v>О</v>
      </c>
      <c r="I79" s="35" t="str">
        <f>График!V8</f>
        <v>О</v>
      </c>
      <c r="J79" s="35" t="str">
        <f>График!W8</f>
        <v>О</v>
      </c>
      <c r="K79" s="35" t="str">
        <f>График!X8</f>
        <v>О</v>
      </c>
      <c r="L79" s="35" t="str">
        <f>График!Y8</f>
        <v>О</v>
      </c>
      <c r="M79" s="35" t="str">
        <f>График!Z8</f>
        <v>О</v>
      </c>
      <c r="N79" s="35" t="str">
        <f>График!AA8</f>
        <v>О</v>
      </c>
      <c r="O79" s="35" t="str">
        <f>График!AB8</f>
        <v>О</v>
      </c>
      <c r="P79" s="35" t="str">
        <f>График!AC8</f>
        <v>О</v>
      </c>
      <c r="Q79" s="35" t="str">
        <f>График!AD8</f>
        <v>О</v>
      </c>
      <c r="R79" s="35" t="str">
        <f>График!AE8</f>
        <v>О</v>
      </c>
      <c r="S79" s="35" t="str">
        <f>График!AF8</f>
        <v>О</v>
      </c>
      <c r="T79" s="35" t="str">
        <f>График!AG8</f>
        <v>О</v>
      </c>
      <c r="U79" s="169" t="str">
        <f>IF(U78="Я",(IF(U$13="","",IF(AND(U$13&gt;=$AI79,U$13&lt;=$AJ79),"Р",IF(NOT(ISERROR(VLOOKUP(U$13,предпр,1,0)=U$13)),$E76*8-1,IF(NOT(ISERROR(VLOOKUP(U$13,выхрабд,1,0)=U$13)),$E76*8,IF(OR(WEEKDAY(U$13,2)&gt;5,ISNUMBER(MATCH(U$13,празд,0)),SUMPRODUCT(1*(U$13=допнер))),"",IF(WEEKDAY(U$13,2)&lt;6,$E76*8))))))),"")</f>
        <v/>
      </c>
      <c r="V79" s="173">
        <f>SUM(F79:U79)</f>
        <v>0</v>
      </c>
      <c r="W79" s="229"/>
      <c r="X79" s="188"/>
      <c r="Y79" s="149"/>
      <c r="Z79" s="150"/>
      <c r="AA79" s="149"/>
      <c r="AB79" s="149"/>
      <c r="AC79" s="189"/>
      <c r="AD79" s="147" t="str">
        <f>IF(SUMPRODUCT(--ISNUMBER(SEARCH("ОД",F76:U79)))&gt;0,"ОД","")</f>
        <v/>
      </c>
      <c r="AE79" s="152" t="str">
        <f t="array" ref="AE79">IF(AD79="","",SUMPRODUCT(($F$16:$U$19=AD79)*(IFERROR(WEEKDAY($F$11:$U$14,2),7)&lt;6)*(ISNA(MATCH($F$11:$U$14,празд,0))))&amp;"("&amp;SUMPRODUCT(($F$16:$U$19=AD79)*(IFERROR(WEEKDAY($F$11:$U$14,2),7)&lt;6)*(ISNA(MATCH($F$11:$U$14,празд,0))))*8&amp;")")</f>
        <v/>
      </c>
      <c r="AF79" s="231"/>
      <c r="AG79" s="231"/>
      <c r="AH79" s="128"/>
    </row>
    <row r="81" spans="5:34" x14ac:dyDescent="0.2">
      <c r="E81" s="112"/>
      <c r="F81" s="214" t="s">
        <v>112</v>
      </c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</row>
    <row r="82" spans="5:34" x14ac:dyDescent="0.2">
      <c r="E82" s="112"/>
      <c r="F82" s="214" t="s">
        <v>113</v>
      </c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</row>
    <row r="83" spans="5:34" x14ac:dyDescent="0.2">
      <c r="E83" s="112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3"/>
      <c r="Y83" s="111"/>
      <c r="Z83" s="113"/>
      <c r="AA83" s="111"/>
      <c r="AB83" s="111"/>
      <c r="AC83" s="111"/>
      <c r="AD83" s="111"/>
      <c r="AE83" s="111"/>
      <c r="AF83" s="111"/>
      <c r="AG83" s="111"/>
      <c r="AH83" s="114"/>
    </row>
    <row r="84" spans="5:34" x14ac:dyDescent="0.2">
      <c r="E84" s="112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3"/>
      <c r="Y84" s="111"/>
      <c r="Z84" s="113"/>
      <c r="AA84" s="111"/>
      <c r="AB84" s="111"/>
      <c r="AC84" s="111"/>
      <c r="AD84" s="111"/>
      <c r="AE84" s="111"/>
      <c r="AF84" s="111"/>
      <c r="AG84" s="111"/>
      <c r="AH84" s="114"/>
    </row>
    <row r="85" spans="5:34" x14ac:dyDescent="0.2">
      <c r="E85" s="112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3"/>
      <c r="Y85" s="111"/>
      <c r="Z85" s="113"/>
      <c r="AA85" s="111"/>
      <c r="AB85" s="111"/>
      <c r="AC85" s="111"/>
      <c r="AD85" s="111"/>
      <c r="AE85" s="111"/>
      <c r="AF85" s="111"/>
      <c r="AG85" s="111"/>
      <c r="AH85" s="114"/>
    </row>
    <row r="86" spans="5:34" x14ac:dyDescent="0.2">
      <c r="E86" s="112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3"/>
      <c r="Y86" s="111"/>
      <c r="Z86" s="113"/>
      <c r="AA86" s="111"/>
      <c r="AB86" s="111"/>
      <c r="AC86" s="111"/>
      <c r="AD86" s="111"/>
      <c r="AE86" s="111"/>
      <c r="AF86" s="111"/>
      <c r="AG86" s="111"/>
      <c r="AH86" s="114"/>
    </row>
    <row r="87" spans="5:34" x14ac:dyDescent="0.2">
      <c r="E87" s="115"/>
    </row>
    <row r="88" spans="5:34" x14ac:dyDescent="0.2">
      <c r="E88" s="112"/>
      <c r="F88" s="111"/>
      <c r="R88" s="112"/>
    </row>
    <row r="89" spans="5:34" x14ac:dyDescent="0.2">
      <c r="E89" s="112"/>
      <c r="F89" s="111"/>
      <c r="R89" s="116"/>
    </row>
    <row r="90" spans="5:34" x14ac:dyDescent="0.2">
      <c r="E90" s="112"/>
      <c r="F90" s="111"/>
      <c r="R90" s="117"/>
    </row>
    <row r="91" spans="5:34" x14ac:dyDescent="0.2">
      <c r="R91" s="118"/>
    </row>
    <row r="92" spans="5:34" x14ac:dyDescent="0.2">
      <c r="R92" s="119"/>
    </row>
    <row r="93" spans="5:34" x14ac:dyDescent="0.2">
      <c r="R93" s="120"/>
    </row>
    <row r="95" spans="5:34" ht="16.5" customHeight="1" x14ac:dyDescent="0.2">
      <c r="E95" s="111"/>
      <c r="F95" s="111"/>
      <c r="G95" s="111"/>
      <c r="H95" s="111"/>
      <c r="I95" s="111"/>
      <c r="J95" s="111"/>
    </row>
    <row r="96" spans="5:34" ht="18" customHeight="1" x14ac:dyDescent="0.2">
      <c r="E96" s="111"/>
      <c r="F96" s="111"/>
    </row>
  </sheetData>
  <mergeCells count="245"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B76:B79"/>
    <mergeCell ref="D76:D79"/>
    <mergeCell ref="E76:E79"/>
    <mergeCell ref="W76:W77"/>
    <mergeCell ref="AF76:AG76"/>
    <mergeCell ref="AF77:AG77"/>
    <mergeCell ref="W78:W79"/>
    <mergeCell ref="AF78:AG78"/>
    <mergeCell ref="AF79:AG79"/>
    <mergeCell ref="C76:C77"/>
    <mergeCell ref="C78:C79"/>
    <mergeCell ref="AF70:AG70"/>
    <mergeCell ref="AF71:AG71"/>
    <mergeCell ref="B64:B67"/>
    <mergeCell ref="D64:D67"/>
    <mergeCell ref="E64:E67"/>
    <mergeCell ref="B72:B75"/>
    <mergeCell ref="D72:D75"/>
    <mergeCell ref="E72:E75"/>
    <mergeCell ref="W72:W73"/>
    <mergeCell ref="AF72:AG72"/>
    <mergeCell ref="AF73:AG73"/>
    <mergeCell ref="W74:W75"/>
    <mergeCell ref="AF74:AG74"/>
    <mergeCell ref="AF75:AG75"/>
    <mergeCell ref="C74:C75"/>
    <mergeCell ref="B36:B39"/>
    <mergeCell ref="D36:D39"/>
    <mergeCell ref="E36:E39"/>
    <mergeCell ref="W36:W37"/>
    <mergeCell ref="AF36:AG36"/>
    <mergeCell ref="AF37:AG37"/>
    <mergeCell ref="W38:W39"/>
    <mergeCell ref="AF38:AG38"/>
    <mergeCell ref="AF39:AG39"/>
    <mergeCell ref="C36:C37"/>
    <mergeCell ref="C38:C39"/>
    <mergeCell ref="B32:B35"/>
    <mergeCell ref="D32:D35"/>
    <mergeCell ref="E32:E35"/>
    <mergeCell ref="W32:W33"/>
    <mergeCell ref="AF32:AG32"/>
    <mergeCell ref="AF33:AG33"/>
    <mergeCell ref="W34:W35"/>
    <mergeCell ref="AF34:AG34"/>
    <mergeCell ref="AF35:AG35"/>
    <mergeCell ref="C32:C33"/>
    <mergeCell ref="C34:C35"/>
    <mergeCell ref="B28:B31"/>
    <mergeCell ref="D28:D31"/>
    <mergeCell ref="E28:E31"/>
    <mergeCell ref="W28:W29"/>
    <mergeCell ref="AF28:AG28"/>
    <mergeCell ref="AF29:AG29"/>
    <mergeCell ref="W30:W31"/>
    <mergeCell ref="AF30:AG30"/>
    <mergeCell ref="AF31:AG31"/>
    <mergeCell ref="C28:C29"/>
    <mergeCell ref="C30:C31"/>
    <mergeCell ref="B20:B23"/>
    <mergeCell ref="D20:D23"/>
    <mergeCell ref="E20:E23"/>
    <mergeCell ref="W20:W21"/>
    <mergeCell ref="AF20:AG20"/>
    <mergeCell ref="AF21:AG21"/>
    <mergeCell ref="W22:W23"/>
    <mergeCell ref="AF22:AG22"/>
    <mergeCell ref="AF23:AG23"/>
    <mergeCell ref="C20:C21"/>
    <mergeCell ref="C22:C23"/>
    <mergeCell ref="B24:B27"/>
    <mergeCell ref="D24:D27"/>
    <mergeCell ref="E24:E27"/>
    <mergeCell ref="W24:W25"/>
    <mergeCell ref="AF24:AG24"/>
    <mergeCell ref="AF25:AG25"/>
    <mergeCell ref="W26:W27"/>
    <mergeCell ref="AF26:AG26"/>
    <mergeCell ref="AF27:AG27"/>
    <mergeCell ref="C24:C25"/>
    <mergeCell ref="C26:C27"/>
    <mergeCell ref="B40:B43"/>
    <mergeCell ref="D40:D43"/>
    <mergeCell ref="E40:E43"/>
    <mergeCell ref="W40:W41"/>
    <mergeCell ref="AF40:AG40"/>
    <mergeCell ref="AF41:AG41"/>
    <mergeCell ref="W42:W43"/>
    <mergeCell ref="AF42:AG42"/>
    <mergeCell ref="AF43:AG43"/>
    <mergeCell ref="C40:C41"/>
    <mergeCell ref="C42:C43"/>
    <mergeCell ref="W54:W55"/>
    <mergeCell ref="AF54:AG54"/>
    <mergeCell ref="AF55:AG55"/>
    <mergeCell ref="B44:B47"/>
    <mergeCell ref="D44:D47"/>
    <mergeCell ref="E44:E47"/>
    <mergeCell ref="W44:W45"/>
    <mergeCell ref="AF44:AG44"/>
    <mergeCell ref="AF45:AG45"/>
    <mergeCell ref="W46:W47"/>
    <mergeCell ref="AF46:AG46"/>
    <mergeCell ref="AF47:AG47"/>
    <mergeCell ref="C44:C45"/>
    <mergeCell ref="C46:C47"/>
    <mergeCell ref="C48:C49"/>
    <mergeCell ref="C50:C51"/>
    <mergeCell ref="C52:C53"/>
    <mergeCell ref="C54:C55"/>
    <mergeCell ref="F2:I2"/>
    <mergeCell ref="F3:G3"/>
    <mergeCell ref="H3:I3"/>
    <mergeCell ref="F4:G4"/>
    <mergeCell ref="F8:O8"/>
    <mergeCell ref="F7:U7"/>
    <mergeCell ref="P8:R8"/>
    <mergeCell ref="S8:T8"/>
    <mergeCell ref="H4:I4"/>
    <mergeCell ref="AD10:AH10"/>
    <mergeCell ref="F11:F12"/>
    <mergeCell ref="G11:G12"/>
    <mergeCell ref="H11:H12"/>
    <mergeCell ref="I11:I12"/>
    <mergeCell ref="J11:J12"/>
    <mergeCell ref="K11:K12"/>
    <mergeCell ref="L11:L12"/>
    <mergeCell ref="AH11:AH14"/>
    <mergeCell ref="X12:AC12"/>
    <mergeCell ref="F13:F14"/>
    <mergeCell ref="G13:G14"/>
    <mergeCell ref="H13:H14"/>
    <mergeCell ref="I13:I14"/>
    <mergeCell ref="J13:J14"/>
    <mergeCell ref="S11:S12"/>
    <mergeCell ref="T11:T12"/>
    <mergeCell ref="W11:W12"/>
    <mergeCell ref="X11:AC11"/>
    <mergeCell ref="M11:M12"/>
    <mergeCell ref="N11:N12"/>
    <mergeCell ref="O11:O12"/>
    <mergeCell ref="P11:P12"/>
    <mergeCell ref="Q11:Q12"/>
    <mergeCell ref="R11:R12"/>
    <mergeCell ref="B10:B14"/>
    <mergeCell ref="C10:C14"/>
    <mergeCell ref="D10:D14"/>
    <mergeCell ref="E10:E14"/>
    <mergeCell ref="F10:U10"/>
    <mergeCell ref="V10:W10"/>
    <mergeCell ref="X10:AC10"/>
    <mergeCell ref="K13:K14"/>
    <mergeCell ref="L13:L14"/>
    <mergeCell ref="M13:M14"/>
    <mergeCell ref="N13:N14"/>
    <mergeCell ref="O13:O14"/>
    <mergeCell ref="P13:P14"/>
    <mergeCell ref="Q13:Q14"/>
    <mergeCell ref="R13:R14"/>
    <mergeCell ref="S13:S14"/>
    <mergeCell ref="T13:T14"/>
    <mergeCell ref="U13:U14"/>
    <mergeCell ref="V13:W13"/>
    <mergeCell ref="V14:W14"/>
    <mergeCell ref="U11:U12"/>
    <mergeCell ref="V11:V12"/>
    <mergeCell ref="AD11:AD14"/>
    <mergeCell ref="AE11:AE14"/>
    <mergeCell ref="AF11:AG14"/>
    <mergeCell ref="X13:X14"/>
    <mergeCell ref="Y13:Y14"/>
    <mergeCell ref="Z13:Z14"/>
    <mergeCell ref="AA13:AA14"/>
    <mergeCell ref="AB13:AB14"/>
    <mergeCell ref="AC13:AC14"/>
    <mergeCell ref="F15:U15"/>
    <mergeCell ref="AF15:AG15"/>
    <mergeCell ref="B16:B19"/>
    <mergeCell ref="D16:D19"/>
    <mergeCell ref="E16:E19"/>
    <mergeCell ref="W16:W17"/>
    <mergeCell ref="AF16:AG16"/>
    <mergeCell ref="AF17:AG17"/>
    <mergeCell ref="W18:W19"/>
    <mergeCell ref="C16:C17"/>
    <mergeCell ref="C18:C19"/>
    <mergeCell ref="AF18:AG18"/>
    <mergeCell ref="AF19:AG19"/>
    <mergeCell ref="B56:B59"/>
    <mergeCell ref="D56:D59"/>
    <mergeCell ref="E56:E59"/>
    <mergeCell ref="W56:W57"/>
    <mergeCell ref="AF56:AG56"/>
    <mergeCell ref="AF57:AG57"/>
    <mergeCell ref="W58:W59"/>
    <mergeCell ref="B48:B51"/>
    <mergeCell ref="D48:D51"/>
    <mergeCell ref="E48:E51"/>
    <mergeCell ref="W48:W49"/>
    <mergeCell ref="AF48:AG48"/>
    <mergeCell ref="AF49:AG49"/>
    <mergeCell ref="W50:W51"/>
    <mergeCell ref="AF50:AG50"/>
    <mergeCell ref="AF51:AG51"/>
    <mergeCell ref="B52:B55"/>
    <mergeCell ref="D52:D55"/>
    <mergeCell ref="E52:E55"/>
    <mergeCell ref="AF58:AG58"/>
    <mergeCell ref="AF59:AG59"/>
    <mergeCell ref="W52:W53"/>
    <mergeCell ref="AF52:AG52"/>
    <mergeCell ref="AF53:AG53"/>
    <mergeCell ref="F81:AH81"/>
    <mergeCell ref="F82:AH82"/>
    <mergeCell ref="B60:B63"/>
    <mergeCell ref="D60:D63"/>
    <mergeCell ref="E60:E63"/>
    <mergeCell ref="W60:W61"/>
    <mergeCell ref="AF60:AG60"/>
    <mergeCell ref="AF61:AG61"/>
    <mergeCell ref="W62:W63"/>
    <mergeCell ref="AF62:AG62"/>
    <mergeCell ref="AF63:AG63"/>
    <mergeCell ref="W64:W65"/>
    <mergeCell ref="AF64:AG64"/>
    <mergeCell ref="AF65:AG65"/>
    <mergeCell ref="W66:W67"/>
    <mergeCell ref="AF66:AG66"/>
    <mergeCell ref="AF67:AG67"/>
    <mergeCell ref="B68:B71"/>
    <mergeCell ref="D68:D71"/>
    <mergeCell ref="E68:E71"/>
    <mergeCell ref="W68:W69"/>
    <mergeCell ref="AF68:AG68"/>
    <mergeCell ref="AF69:AG69"/>
    <mergeCell ref="W70:W71"/>
  </mergeCells>
  <conditionalFormatting sqref="F56:U59">
    <cfRule type="cellIs" dxfId="107" priority="117" operator="equal">
      <formula>"ДО"</formula>
    </cfRule>
    <cfRule type="cellIs" dxfId="106" priority="118" operator="equal">
      <formula>"К"</formula>
    </cfRule>
    <cfRule type="cellIs" dxfId="105" priority="119" operator="equal">
      <formula>"ОД"</formula>
    </cfRule>
    <cfRule type="cellIs" dxfId="104" priority="120" operator="equal">
      <formula>"ОТ"</formula>
    </cfRule>
    <cfRule type="cellIs" dxfId="103" priority="121" operator="equal">
      <formula>"Б"</formula>
    </cfRule>
    <cfRule type="cellIs" dxfId="102" priority="122" operator="equal">
      <formula>"В"</formula>
    </cfRule>
  </conditionalFormatting>
  <conditionalFormatting sqref="F48:U51">
    <cfRule type="cellIs" dxfId="101" priority="97" operator="equal">
      <formula>"ДО"</formula>
    </cfRule>
    <cfRule type="cellIs" dxfId="100" priority="98" operator="equal">
      <formula>"К"</formula>
    </cfRule>
    <cfRule type="cellIs" dxfId="99" priority="99" operator="equal">
      <formula>"ОД"</formula>
    </cfRule>
    <cfRule type="cellIs" dxfId="98" priority="100" operator="equal">
      <formula>"ОТ"</formula>
    </cfRule>
    <cfRule type="cellIs" dxfId="97" priority="101" operator="equal">
      <formula>"Б"</formula>
    </cfRule>
    <cfRule type="cellIs" dxfId="96" priority="102" operator="equal">
      <formula>"В"</formula>
    </cfRule>
  </conditionalFormatting>
  <conditionalFormatting sqref="F52:U55">
    <cfRule type="cellIs" dxfId="95" priority="91" operator="equal">
      <formula>"ДО"</formula>
    </cfRule>
    <cfRule type="cellIs" dxfId="94" priority="92" operator="equal">
      <formula>"К"</formula>
    </cfRule>
    <cfRule type="cellIs" dxfId="93" priority="93" operator="equal">
      <formula>"ОД"</formula>
    </cfRule>
    <cfRule type="cellIs" dxfId="92" priority="94" operator="equal">
      <formula>"ОТ"</formula>
    </cfRule>
    <cfRule type="cellIs" dxfId="91" priority="95" operator="equal">
      <formula>"Б"</formula>
    </cfRule>
    <cfRule type="cellIs" dxfId="90" priority="96" operator="equal">
      <formula>"В"</formula>
    </cfRule>
  </conditionalFormatting>
  <conditionalFormatting sqref="F44:U47">
    <cfRule type="cellIs" dxfId="89" priority="85" operator="equal">
      <formula>"ДО"</formula>
    </cfRule>
    <cfRule type="cellIs" dxfId="88" priority="86" operator="equal">
      <formula>"К"</formula>
    </cfRule>
    <cfRule type="cellIs" dxfId="87" priority="87" operator="equal">
      <formula>"ОД"</formula>
    </cfRule>
    <cfRule type="cellIs" dxfId="86" priority="88" operator="equal">
      <formula>"ОТ"</formula>
    </cfRule>
    <cfRule type="cellIs" dxfId="85" priority="89" operator="equal">
      <formula>"Б"</formula>
    </cfRule>
    <cfRule type="cellIs" dxfId="84" priority="90" operator="equal">
      <formula>"В"</formula>
    </cfRule>
  </conditionalFormatting>
  <conditionalFormatting sqref="F40:U43">
    <cfRule type="cellIs" dxfId="83" priority="79" operator="equal">
      <formula>"ДО"</formula>
    </cfRule>
    <cfRule type="cellIs" dxfId="82" priority="80" operator="equal">
      <formula>"К"</formula>
    </cfRule>
    <cfRule type="cellIs" dxfId="81" priority="81" operator="equal">
      <formula>"ОД"</formula>
    </cfRule>
    <cfRule type="cellIs" dxfId="80" priority="82" operator="equal">
      <formula>"ОТ"</formula>
    </cfRule>
    <cfRule type="cellIs" dxfId="79" priority="83" operator="equal">
      <formula>"Б"</formula>
    </cfRule>
    <cfRule type="cellIs" dxfId="78" priority="84" operator="equal">
      <formula>"В"</formula>
    </cfRule>
  </conditionalFormatting>
  <conditionalFormatting sqref="F24:U27">
    <cfRule type="cellIs" dxfId="77" priority="73" operator="equal">
      <formula>"ДО"</formula>
    </cfRule>
    <cfRule type="cellIs" dxfId="76" priority="74" operator="equal">
      <formula>"К"</formula>
    </cfRule>
    <cfRule type="cellIs" dxfId="75" priority="75" operator="equal">
      <formula>"ОД"</formula>
    </cfRule>
    <cfRule type="cellIs" dxfId="74" priority="76" operator="equal">
      <formula>"ОТ"</formula>
    </cfRule>
    <cfRule type="cellIs" dxfId="73" priority="77" operator="equal">
      <formula>"Б"</formula>
    </cfRule>
    <cfRule type="cellIs" dxfId="72" priority="78" operator="equal">
      <formula>"В"</formula>
    </cfRule>
  </conditionalFormatting>
  <conditionalFormatting sqref="F20:U23">
    <cfRule type="cellIs" dxfId="71" priority="67" operator="equal">
      <formula>"ДО"</formula>
    </cfRule>
    <cfRule type="cellIs" dxfId="70" priority="68" operator="equal">
      <formula>"К"</formula>
    </cfRule>
    <cfRule type="cellIs" dxfId="69" priority="69" operator="equal">
      <formula>"ОД"</formula>
    </cfRule>
    <cfRule type="cellIs" dxfId="68" priority="70" operator="equal">
      <formula>"ОТ"</formula>
    </cfRule>
    <cfRule type="cellIs" dxfId="67" priority="71" operator="equal">
      <formula>"Б"</formula>
    </cfRule>
    <cfRule type="cellIs" dxfId="66" priority="72" operator="equal">
      <formula>"В"</formula>
    </cfRule>
  </conditionalFormatting>
  <conditionalFormatting sqref="F28:U31">
    <cfRule type="cellIs" dxfId="65" priority="61" operator="equal">
      <formula>"ДО"</formula>
    </cfRule>
    <cfRule type="cellIs" dxfId="64" priority="62" operator="equal">
      <formula>"К"</formula>
    </cfRule>
    <cfRule type="cellIs" dxfId="63" priority="63" operator="equal">
      <formula>"ОД"</formula>
    </cfRule>
    <cfRule type="cellIs" dxfId="62" priority="64" operator="equal">
      <formula>"ОТ"</formula>
    </cfRule>
    <cfRule type="cellIs" dxfId="61" priority="65" operator="equal">
      <formula>"Б"</formula>
    </cfRule>
    <cfRule type="cellIs" dxfId="60" priority="66" operator="equal">
      <formula>"В"</formula>
    </cfRule>
  </conditionalFormatting>
  <conditionalFormatting sqref="F36:U39">
    <cfRule type="cellIs" dxfId="59" priority="55" operator="equal">
      <formula>"ДО"</formula>
    </cfRule>
    <cfRule type="cellIs" dxfId="58" priority="56" operator="equal">
      <formula>"К"</formula>
    </cfRule>
    <cfRule type="cellIs" dxfId="57" priority="57" operator="equal">
      <formula>"ОД"</formula>
    </cfRule>
    <cfRule type="cellIs" dxfId="56" priority="58" operator="equal">
      <formula>"ОТ"</formula>
    </cfRule>
    <cfRule type="cellIs" dxfId="55" priority="59" operator="equal">
      <formula>"Б"</formula>
    </cfRule>
    <cfRule type="cellIs" dxfId="54" priority="60" operator="equal">
      <formula>"В"</formula>
    </cfRule>
  </conditionalFormatting>
  <conditionalFormatting sqref="F32:U35">
    <cfRule type="cellIs" dxfId="53" priority="49" operator="equal">
      <formula>"ДО"</formula>
    </cfRule>
    <cfRule type="cellIs" dxfId="52" priority="50" operator="equal">
      <formula>"К"</formula>
    </cfRule>
    <cfRule type="cellIs" dxfId="51" priority="51" operator="equal">
      <formula>"ОД"</formula>
    </cfRule>
    <cfRule type="cellIs" dxfId="50" priority="52" operator="equal">
      <formula>"ОТ"</formula>
    </cfRule>
    <cfRule type="cellIs" dxfId="49" priority="53" operator="equal">
      <formula>"Б"</formula>
    </cfRule>
    <cfRule type="cellIs" dxfId="48" priority="54" operator="equal">
      <formula>"В"</formula>
    </cfRule>
  </conditionalFormatting>
  <conditionalFormatting sqref="U77 U79 F76:U76 F78:U78">
    <cfRule type="cellIs" dxfId="47" priority="43" operator="equal">
      <formula>"ДО"</formula>
    </cfRule>
    <cfRule type="cellIs" dxfId="46" priority="44" operator="equal">
      <formula>"К"</formula>
    </cfRule>
    <cfRule type="cellIs" dxfId="45" priority="45" operator="equal">
      <formula>"ОД"</formula>
    </cfRule>
    <cfRule type="cellIs" dxfId="44" priority="46" operator="equal">
      <formula>"ОТ"</formula>
    </cfRule>
    <cfRule type="cellIs" dxfId="43" priority="47" operator="equal">
      <formula>"Б"</formula>
    </cfRule>
    <cfRule type="cellIs" dxfId="42" priority="48" operator="equal">
      <formula>"В"</formula>
    </cfRule>
  </conditionalFormatting>
  <conditionalFormatting sqref="F68:U71">
    <cfRule type="cellIs" dxfId="41" priority="37" operator="equal">
      <formula>"ДО"</formula>
    </cfRule>
    <cfRule type="cellIs" dxfId="40" priority="38" operator="equal">
      <formula>"К"</formula>
    </cfRule>
    <cfRule type="cellIs" dxfId="39" priority="39" operator="equal">
      <formula>"ОД"</formula>
    </cfRule>
    <cfRule type="cellIs" dxfId="38" priority="40" operator="equal">
      <formula>"ОТ"</formula>
    </cfRule>
    <cfRule type="cellIs" dxfId="37" priority="41" operator="equal">
      <formula>"Б"</formula>
    </cfRule>
    <cfRule type="cellIs" dxfId="36" priority="42" operator="equal">
      <formula>"В"</formula>
    </cfRule>
  </conditionalFormatting>
  <conditionalFormatting sqref="F72:U75">
    <cfRule type="cellIs" dxfId="35" priority="31" operator="equal">
      <formula>"ДО"</formula>
    </cfRule>
    <cfRule type="cellIs" dxfId="34" priority="32" operator="equal">
      <formula>"К"</formula>
    </cfRule>
    <cfRule type="cellIs" dxfId="33" priority="33" operator="equal">
      <formula>"ОД"</formula>
    </cfRule>
    <cfRule type="cellIs" dxfId="32" priority="34" operator="equal">
      <formula>"ОТ"</formula>
    </cfRule>
    <cfRule type="cellIs" dxfId="31" priority="35" operator="equal">
      <formula>"Б"</formula>
    </cfRule>
    <cfRule type="cellIs" dxfId="30" priority="36" operator="equal">
      <formula>"В"</formula>
    </cfRule>
  </conditionalFormatting>
  <conditionalFormatting sqref="F64:U67">
    <cfRule type="cellIs" dxfId="29" priority="25" operator="equal">
      <formula>"ДО"</formula>
    </cfRule>
    <cfRule type="cellIs" dxfId="28" priority="26" operator="equal">
      <formula>"К"</formula>
    </cfRule>
    <cfRule type="cellIs" dxfId="27" priority="27" operator="equal">
      <formula>"ОД"</formula>
    </cfRule>
    <cfRule type="cellIs" dxfId="26" priority="28" operator="equal">
      <formula>"ОТ"</formula>
    </cfRule>
    <cfRule type="cellIs" dxfId="25" priority="29" operator="equal">
      <formula>"Б"</formula>
    </cfRule>
    <cfRule type="cellIs" dxfId="24" priority="30" operator="equal">
      <formula>"В"</formula>
    </cfRule>
  </conditionalFormatting>
  <conditionalFormatting sqref="F60:U63">
    <cfRule type="cellIs" dxfId="23" priority="19" operator="equal">
      <formula>"ДО"</formula>
    </cfRule>
    <cfRule type="cellIs" dxfId="22" priority="20" operator="equal">
      <formula>"К"</formula>
    </cfRule>
    <cfRule type="cellIs" dxfId="21" priority="21" operator="equal">
      <formula>"ОД"</formula>
    </cfRule>
    <cfRule type="cellIs" dxfId="20" priority="22" operator="equal">
      <formula>"ОТ"</formula>
    </cfRule>
    <cfRule type="cellIs" dxfId="19" priority="23" operator="equal">
      <formula>"Б"</formula>
    </cfRule>
    <cfRule type="cellIs" dxfId="18" priority="24" operator="equal">
      <formula>"В"</formula>
    </cfRule>
  </conditionalFormatting>
  <conditionalFormatting sqref="F11:U11 F13:U13">
    <cfRule type="expression" dxfId="17" priority="15">
      <formula>WEEKDAY(F11,2)&gt;5</formula>
    </cfRule>
    <cfRule type="expression" dxfId="16" priority="16">
      <formula>F11&gt;EOMONTH($D$9,0)</formula>
    </cfRule>
    <cfRule type="expression" dxfId="15" priority="18">
      <formula>WEEKDAY(F11,2)&gt;5</formula>
    </cfRule>
  </conditionalFormatting>
  <conditionalFormatting sqref="F16:T17 F18:U19">
    <cfRule type="cellIs" dxfId="14" priority="7" operator="equal">
      <formula>"ДО"</formula>
    </cfRule>
    <cfRule type="cellIs" dxfId="13" priority="8" operator="equal">
      <formula>"К"</formula>
    </cfRule>
    <cfRule type="cellIs" dxfId="12" priority="9" operator="equal">
      <formula>"ОД"</formula>
    </cfRule>
    <cfRule type="cellIs" dxfId="11" priority="10" operator="equal">
      <formula>"ОТ"</formula>
    </cfRule>
    <cfRule type="cellIs" dxfId="10" priority="11" operator="equal">
      <formula>"Б"</formula>
    </cfRule>
    <cfRule type="cellIs" dxfId="9" priority="12" operator="equal">
      <formula>"В"</formula>
    </cfRule>
  </conditionalFormatting>
  <conditionalFormatting sqref="U16:U17">
    <cfRule type="cellIs" dxfId="8" priority="1" operator="equal">
      <formula>"ДО"</formula>
    </cfRule>
    <cfRule type="cellIs" dxfId="7" priority="2" operator="equal">
      <formula>"К"</formula>
    </cfRule>
    <cfRule type="cellIs" dxfId="6" priority="3" operator="equal">
      <formula>"ОД"</formula>
    </cfRule>
    <cfRule type="cellIs" dxfId="5" priority="4" operator="equal">
      <formula>"ОТ"</formula>
    </cfRule>
    <cfRule type="cellIs" dxfId="4" priority="5" operator="equal">
      <formula>"Б"</formula>
    </cfRule>
    <cfRule type="cellIs" dxfId="3" priority="6" operator="equal">
      <formula>"В"</formula>
    </cfRule>
  </conditionalFormatting>
  <pageMargins left="0.59055118110236227" right="0.27559055118110237" top="0.59055118110236227" bottom="0.59055118110236227" header="0" footer="0"/>
  <pageSetup paperSize="8" scale="93" fitToHeight="100" orientation="landscape" errors="blank" r:id="rId1"/>
  <headerFooter alignWithMargins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189F345F-15E6-4F29-996D-32494AF65BBE}">
            <xm:f>ISNUMBER(MATCH(F11,Параметры!$E$4:$E$22,0))</xm:f>
            <x14:dxf>
              <font>
                <b val="0"/>
                <i val="0"/>
                <strike val="0"/>
                <u val="none"/>
                <color theme="1"/>
                <name val="Cambria"/>
                <scheme val="none"/>
              </font>
              <numFmt numFmtId="169" formatCode="d\*"/>
              <fill>
                <patternFill>
                  <bgColor rgb="FFFFFF99"/>
                </patternFill>
              </fill>
            </x14:dxf>
          </x14:cfRule>
          <x14:cfRule type="expression" priority="14" id="{B3D00DED-B85F-44F5-9599-11952A199D3D}">
            <xm:f>ISNUMBER(MATCH(F11,Параметры!$F$4:$F$22,0))</xm:f>
            <x14:dxf>
              <font>
                <b val="0"/>
                <i val="0"/>
                <color theme="1"/>
              </font>
              <fill>
                <patternFill>
                  <bgColor theme="9" tint="0.39994506668294322"/>
                </patternFill>
              </fill>
            </x14:dxf>
          </x14:cfRule>
          <x14:cfRule type="expression" priority="17" id="{97CC8DCD-63FC-453E-8970-0A56C2EF7B68}">
            <xm:f>ISNUMBER(MATCH(F11,Параметры!$G$4:$G$22,0))</xm:f>
            <x14:dxf>
              <font>
                <b val="0"/>
                <i val="0"/>
                <color theme="1"/>
              </font>
              <fill>
                <patternFill>
                  <bgColor theme="0" tint="-0.14996795556505021"/>
                </patternFill>
              </fill>
            </x14:dxf>
          </x14:cfRule>
          <xm:sqref>F11:U11 F13:U13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Параметры!$A$4:$A$15</xm:f>
          </x14:formula1>
          <xm:sqref>P8:R8</xm:sqref>
        </x14:dataValidation>
        <x14:dataValidation type="list" allowBlank="1" showInputMessage="1" showErrorMessage="1">
          <x14:formula1>
            <xm:f>Параметры!$C$4:$C$15</xm:f>
          </x14:formula1>
          <xm:sqref>S8:T8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6" zoomScale="70" zoomScaleNormal="70" workbookViewId="0">
      <selection activeCell="B30" sqref="B30"/>
    </sheetView>
  </sheetViews>
  <sheetFormatPr defaultRowHeight="12.75" x14ac:dyDescent="0.2"/>
  <cols>
    <col min="1" max="1" width="12.5703125" customWidth="1"/>
    <col min="2" max="2" width="19.140625" customWidth="1"/>
    <col min="3" max="3" width="19.85546875" customWidth="1"/>
    <col min="4" max="4" width="17.7109375" customWidth="1"/>
    <col min="5" max="5" width="20.28515625" customWidth="1"/>
    <col min="6" max="6" width="17.28515625" customWidth="1"/>
    <col min="7" max="7" width="17.85546875" customWidth="1"/>
    <col min="8" max="8" width="12.28515625" customWidth="1"/>
    <col min="13" max="13" width="15.28515625" customWidth="1"/>
  </cols>
  <sheetData>
    <row r="1" spans="1:10" ht="28.9" customHeight="1" x14ac:dyDescent="0.2">
      <c r="A1" s="310" t="s">
        <v>41</v>
      </c>
      <c r="B1" s="310"/>
      <c r="C1" s="310"/>
      <c r="D1" s="310"/>
      <c r="E1" s="310"/>
      <c r="F1" s="310"/>
      <c r="G1" s="310"/>
      <c r="H1" s="310"/>
      <c r="I1" s="310"/>
      <c r="J1" s="8" t="b">
        <f>ISNUMBER(MATCH(График!D7,$E$3:$E$21,0))</f>
        <v>0</v>
      </c>
    </row>
    <row r="2" spans="1:10" ht="48.75" customHeight="1" x14ac:dyDescent="0.2">
      <c r="A2" s="41" t="s">
        <v>4</v>
      </c>
      <c r="B2" s="41" t="s">
        <v>5</v>
      </c>
      <c r="C2" s="41" t="s">
        <v>6</v>
      </c>
      <c r="D2" s="41" t="s">
        <v>7</v>
      </c>
      <c r="E2" s="64" t="s">
        <v>8</v>
      </c>
      <c r="F2" s="61" t="s">
        <v>9</v>
      </c>
      <c r="G2" s="71" t="s">
        <v>10</v>
      </c>
      <c r="H2" s="67" t="s">
        <v>11</v>
      </c>
      <c r="I2" s="41" t="s">
        <v>12</v>
      </c>
      <c r="J2" s="41" t="s">
        <v>13</v>
      </c>
    </row>
    <row r="3" spans="1:10" ht="15" customHeight="1" x14ac:dyDescent="0.2">
      <c r="A3" s="55">
        <v>1</v>
      </c>
      <c r="B3" s="55">
        <v>2</v>
      </c>
      <c r="C3" s="55">
        <v>3</v>
      </c>
      <c r="D3" s="55">
        <v>4</v>
      </c>
      <c r="E3" s="65">
        <v>5</v>
      </c>
      <c r="F3" s="62">
        <v>6</v>
      </c>
      <c r="G3" s="72">
        <v>7</v>
      </c>
      <c r="H3" s="68">
        <v>8</v>
      </c>
      <c r="I3" s="55">
        <v>9</v>
      </c>
      <c r="J3" s="55">
        <v>10</v>
      </c>
    </row>
    <row r="4" spans="1:10" ht="20.100000000000001" customHeight="1" x14ac:dyDescent="0.2">
      <c r="A4" s="15" t="s">
        <v>14</v>
      </c>
      <c r="B4" s="15">
        <v>1</v>
      </c>
      <c r="C4" s="15">
        <v>2019</v>
      </c>
      <c r="D4" s="15" t="s">
        <v>15</v>
      </c>
      <c r="E4" s="66"/>
      <c r="F4" s="63">
        <v>43831</v>
      </c>
      <c r="G4" s="73"/>
      <c r="H4" s="69"/>
      <c r="I4" s="16">
        <v>136</v>
      </c>
      <c r="J4" s="16">
        <v>122.4</v>
      </c>
    </row>
    <row r="5" spans="1:10" ht="20.100000000000001" customHeight="1" x14ac:dyDescent="0.2">
      <c r="A5" s="15" t="s">
        <v>16</v>
      </c>
      <c r="B5" s="15">
        <v>2</v>
      </c>
      <c r="C5" s="15">
        <v>2020</v>
      </c>
      <c r="D5" s="15" t="s">
        <v>15</v>
      </c>
      <c r="E5" s="66"/>
      <c r="F5" s="63">
        <v>43832</v>
      </c>
      <c r="G5" s="73"/>
      <c r="H5" s="69"/>
      <c r="I5" s="16">
        <v>152</v>
      </c>
      <c r="J5" s="16">
        <v>136.80000000000001</v>
      </c>
    </row>
    <row r="6" spans="1:10" ht="20.100000000000001" customHeight="1" x14ac:dyDescent="0.2">
      <c r="A6" s="42" t="s">
        <v>17</v>
      </c>
      <c r="B6" s="42">
        <v>3</v>
      </c>
      <c r="C6" s="15">
        <v>2021</v>
      </c>
      <c r="D6" s="42" t="s">
        <v>15</v>
      </c>
      <c r="E6" s="66"/>
      <c r="F6" s="63">
        <v>43833</v>
      </c>
      <c r="G6" s="73"/>
      <c r="H6" s="69"/>
      <c r="I6" s="43">
        <v>168</v>
      </c>
      <c r="J6" s="43">
        <v>151.19999999999999</v>
      </c>
    </row>
    <row r="7" spans="1:10" ht="20.100000000000001" customHeight="1" x14ac:dyDescent="0.2">
      <c r="A7" s="42" t="s">
        <v>18</v>
      </c>
      <c r="B7" s="42">
        <v>4</v>
      </c>
      <c r="C7" s="15">
        <v>2022</v>
      </c>
      <c r="D7" s="42" t="s">
        <v>15</v>
      </c>
      <c r="E7" s="66"/>
      <c r="F7" s="63">
        <v>43834</v>
      </c>
      <c r="G7" s="73"/>
      <c r="H7" s="69"/>
      <c r="I7" s="43">
        <v>175</v>
      </c>
      <c r="J7" s="43">
        <v>157.4</v>
      </c>
    </row>
    <row r="8" spans="1:10" ht="20.100000000000001" customHeight="1" x14ac:dyDescent="0.2">
      <c r="A8" s="42" t="s">
        <v>0</v>
      </c>
      <c r="B8" s="42">
        <v>5</v>
      </c>
      <c r="C8" s="15">
        <v>2023</v>
      </c>
      <c r="D8" s="42" t="s">
        <v>15</v>
      </c>
      <c r="E8" s="66"/>
      <c r="F8" s="63">
        <v>43835</v>
      </c>
      <c r="G8" s="73"/>
      <c r="H8" s="69"/>
      <c r="I8" s="43">
        <v>135</v>
      </c>
      <c r="J8" s="43">
        <v>121.4</v>
      </c>
    </row>
    <row r="9" spans="1:10" ht="20.100000000000001" customHeight="1" x14ac:dyDescent="0.2">
      <c r="A9" s="15" t="s">
        <v>19</v>
      </c>
      <c r="B9" s="15">
        <v>6</v>
      </c>
      <c r="C9" s="15">
        <v>2024</v>
      </c>
      <c r="D9" s="15" t="s">
        <v>15</v>
      </c>
      <c r="E9" s="66"/>
      <c r="F9" s="63">
        <v>43836</v>
      </c>
      <c r="G9" s="73"/>
      <c r="H9" s="69"/>
      <c r="I9" s="16">
        <v>167</v>
      </c>
      <c r="J9" s="16">
        <v>150.19999999999999</v>
      </c>
    </row>
    <row r="10" spans="1:10" ht="20.100000000000001" customHeight="1" x14ac:dyDescent="0.2">
      <c r="A10" s="15" t="s">
        <v>20</v>
      </c>
      <c r="B10" s="15">
        <v>7</v>
      </c>
      <c r="C10" s="15">
        <v>2025</v>
      </c>
      <c r="D10" s="15" t="s">
        <v>21</v>
      </c>
      <c r="E10" s="66"/>
      <c r="F10" s="63">
        <v>43837</v>
      </c>
      <c r="G10" s="73"/>
      <c r="H10" s="69"/>
      <c r="I10" s="16">
        <v>184</v>
      </c>
      <c r="J10" s="16">
        <v>165.6</v>
      </c>
    </row>
    <row r="11" spans="1:10" ht="20.100000000000001" customHeight="1" x14ac:dyDescent="0.2">
      <c r="A11" s="15" t="s">
        <v>22</v>
      </c>
      <c r="B11" s="15">
        <v>8</v>
      </c>
      <c r="C11" s="15">
        <v>2026</v>
      </c>
      <c r="D11" s="15" t="s">
        <v>15</v>
      </c>
      <c r="E11" s="66"/>
      <c r="F11" s="63">
        <v>43838</v>
      </c>
      <c r="G11" s="73"/>
      <c r="H11" s="69"/>
      <c r="I11" s="16">
        <v>168</v>
      </c>
      <c r="J11" s="16">
        <v>151.19999999999999</v>
      </c>
    </row>
    <row r="12" spans="1:10" ht="20.100000000000001" customHeight="1" x14ac:dyDescent="0.2">
      <c r="A12" s="15" t="s">
        <v>23</v>
      </c>
      <c r="B12" s="15">
        <v>9</v>
      </c>
      <c r="C12" s="15">
        <v>2027</v>
      </c>
      <c r="D12" s="15" t="s">
        <v>24</v>
      </c>
      <c r="E12" s="66"/>
      <c r="F12" s="63">
        <v>43884</v>
      </c>
      <c r="G12" s="73">
        <v>43885</v>
      </c>
      <c r="H12" s="69"/>
      <c r="I12" s="16">
        <v>176</v>
      </c>
      <c r="J12" s="16">
        <v>158.4</v>
      </c>
    </row>
    <row r="13" spans="1:10" ht="20.100000000000001" customHeight="1" x14ac:dyDescent="0.2">
      <c r="A13" s="15" t="s">
        <v>25</v>
      </c>
      <c r="B13" s="15">
        <v>10</v>
      </c>
      <c r="C13" s="15">
        <v>2028</v>
      </c>
      <c r="D13" s="15" t="s">
        <v>26</v>
      </c>
      <c r="E13" s="66"/>
      <c r="F13" s="63">
        <v>43898</v>
      </c>
      <c r="G13" s="73">
        <v>43899</v>
      </c>
      <c r="H13" s="69"/>
      <c r="I13" s="16">
        <v>176</v>
      </c>
      <c r="J13" s="16">
        <v>158.4</v>
      </c>
    </row>
    <row r="14" spans="1:10" ht="20.100000000000001" customHeight="1" x14ac:dyDescent="0.2">
      <c r="A14" s="15" t="s">
        <v>27</v>
      </c>
      <c r="B14" s="15">
        <v>11</v>
      </c>
      <c r="C14" s="15">
        <v>2029</v>
      </c>
      <c r="D14" s="15" t="s">
        <v>26</v>
      </c>
      <c r="E14" s="66"/>
      <c r="F14" s="63"/>
      <c r="G14" s="73"/>
      <c r="H14" s="69"/>
      <c r="I14" s="16">
        <v>159</v>
      </c>
      <c r="J14" s="16">
        <v>143</v>
      </c>
    </row>
    <row r="15" spans="1:10" ht="20.100000000000001" customHeight="1" x14ac:dyDescent="0.2">
      <c r="A15" s="15" t="s">
        <v>28</v>
      </c>
      <c r="B15" s="15">
        <v>12</v>
      </c>
      <c r="C15" s="15">
        <v>2030</v>
      </c>
      <c r="D15" s="15"/>
      <c r="E15" s="66">
        <v>43951</v>
      </c>
      <c r="F15" s="63"/>
      <c r="G15" s="73"/>
      <c r="H15" s="70"/>
      <c r="I15" s="16">
        <v>183</v>
      </c>
      <c r="J15" s="16">
        <v>164.6</v>
      </c>
    </row>
    <row r="16" spans="1:10" ht="20.100000000000001" customHeight="1" x14ac:dyDescent="0.2">
      <c r="A16" s="42"/>
      <c r="B16" s="42"/>
      <c r="C16" s="42"/>
      <c r="D16" s="42" t="s">
        <v>29</v>
      </c>
      <c r="E16" s="66"/>
      <c r="F16" s="63">
        <v>43952</v>
      </c>
      <c r="G16" s="73">
        <v>43955</v>
      </c>
      <c r="H16" s="69"/>
      <c r="I16" s="13"/>
      <c r="J16" s="13"/>
    </row>
    <row r="17" spans="1:13" ht="20.100000000000001" customHeight="1" x14ac:dyDescent="0.2">
      <c r="A17" s="42"/>
      <c r="B17" s="42"/>
      <c r="C17" s="42"/>
      <c r="D17" s="42" t="s">
        <v>29</v>
      </c>
      <c r="E17" s="66"/>
      <c r="F17" s="63"/>
      <c r="G17" s="73">
        <v>43956</v>
      </c>
      <c r="H17" s="69"/>
      <c r="I17" s="13"/>
      <c r="J17" s="13"/>
    </row>
    <row r="18" spans="1:13" ht="20.100000000000001" customHeight="1" x14ac:dyDescent="0.2">
      <c r="A18" s="42"/>
      <c r="B18" s="42"/>
      <c r="C18" s="42"/>
      <c r="D18" s="42" t="s">
        <v>30</v>
      </c>
      <c r="E18" s="66">
        <v>43959</v>
      </c>
      <c r="F18" s="63">
        <v>43960</v>
      </c>
      <c r="G18" s="73">
        <v>43962</v>
      </c>
      <c r="H18" s="69"/>
      <c r="I18" s="13"/>
      <c r="J18" s="13"/>
    </row>
    <row r="19" spans="1:13" ht="20.100000000000001" customHeight="1" x14ac:dyDescent="0.2">
      <c r="A19" s="15"/>
      <c r="B19" s="15"/>
      <c r="C19" s="15"/>
      <c r="D19" s="15" t="s">
        <v>31</v>
      </c>
      <c r="E19" s="66"/>
      <c r="F19" s="63"/>
      <c r="G19" s="73"/>
      <c r="H19" s="69"/>
      <c r="I19" s="17"/>
      <c r="J19" s="17"/>
    </row>
    <row r="20" spans="1:13" ht="20.100000000000001" customHeight="1" x14ac:dyDescent="0.2">
      <c r="A20" s="15"/>
      <c r="B20" s="15"/>
      <c r="C20" s="15"/>
      <c r="D20" s="15" t="s">
        <v>31</v>
      </c>
      <c r="E20" s="66">
        <v>43993</v>
      </c>
      <c r="F20" s="63">
        <v>43994</v>
      </c>
      <c r="G20" s="73"/>
      <c r="H20" s="69"/>
      <c r="I20" s="17"/>
      <c r="J20" s="17"/>
    </row>
    <row r="21" spans="1:13" ht="20.100000000000001" customHeight="1" x14ac:dyDescent="0.2">
      <c r="A21" s="15"/>
      <c r="B21" s="15"/>
      <c r="C21" s="15"/>
      <c r="D21" s="15" t="s">
        <v>32</v>
      </c>
      <c r="E21" s="66">
        <v>44138</v>
      </c>
      <c r="F21" s="63">
        <v>44139</v>
      </c>
      <c r="G21" s="73"/>
      <c r="H21" s="69"/>
      <c r="I21" s="17"/>
      <c r="J21" s="17"/>
    </row>
    <row r="22" spans="1:13" ht="20.100000000000001" customHeight="1" x14ac:dyDescent="0.2">
      <c r="A22" s="15"/>
      <c r="B22" s="15"/>
      <c r="C22" s="15"/>
      <c r="D22" s="15" t="s">
        <v>15</v>
      </c>
      <c r="E22" s="66">
        <v>44196</v>
      </c>
      <c r="F22" s="63"/>
      <c r="G22" s="73"/>
      <c r="H22" s="69"/>
      <c r="I22" s="17"/>
      <c r="J22" s="17"/>
    </row>
    <row r="23" spans="1:13" ht="45" customHeight="1" x14ac:dyDescent="0.2">
      <c r="A23" s="59"/>
      <c r="B23" s="59"/>
      <c r="C23" s="59"/>
      <c r="D23" s="59"/>
      <c r="E23" s="56"/>
      <c r="F23" s="56"/>
      <c r="G23" s="56"/>
      <c r="H23" s="57"/>
      <c r="I23" s="58"/>
      <c r="J23" s="58"/>
    </row>
    <row r="24" spans="1:13" ht="36" customHeight="1" x14ac:dyDescent="0.2">
      <c r="A24" s="39" t="s">
        <v>51</v>
      </c>
      <c r="B24" s="40" t="s">
        <v>33</v>
      </c>
      <c r="C24" s="60" t="s">
        <v>50</v>
      </c>
      <c r="D24" s="40" t="s">
        <v>34</v>
      </c>
      <c r="E24" s="40" t="s">
        <v>35</v>
      </c>
      <c r="F24" s="39" t="s">
        <v>36</v>
      </c>
    </row>
    <row r="25" spans="1:13" ht="15" customHeight="1" x14ac:dyDescent="0.2">
      <c r="A25" s="55">
        <v>1</v>
      </c>
      <c r="B25" s="55">
        <v>2</v>
      </c>
      <c r="C25" s="55">
        <v>3</v>
      </c>
      <c r="D25" s="55">
        <v>4</v>
      </c>
      <c r="E25" s="55">
        <v>5</v>
      </c>
      <c r="F25" s="55">
        <v>6</v>
      </c>
      <c r="H25" s="30"/>
      <c r="M25" s="18"/>
    </row>
    <row r="26" spans="1:13" ht="30" customHeight="1" x14ac:dyDescent="0.2">
      <c r="A26" s="11">
        <v>1902910</v>
      </c>
      <c r="B26" s="12" t="s">
        <v>108</v>
      </c>
      <c r="C26" s="37" t="s">
        <v>95</v>
      </c>
      <c r="D26" s="54">
        <v>43990</v>
      </c>
      <c r="E26" s="32">
        <v>52</v>
      </c>
      <c r="F26" s="33">
        <f t="array" ref="F26">IF(D26="","",SMALL(IF(ISNA(MATCH(ROW(INDEX(A:A,D26):INDEX(A:A,D26+E26+9)),F$3:F$21,)),ROW(INDEX(A:A,D26):INDEX(A:A,D26+E26+9))),E26))</f>
        <v>44042</v>
      </c>
      <c r="H26" s="31"/>
      <c r="M26" s="19"/>
    </row>
    <row r="27" spans="1:13" ht="30" customHeight="1" x14ac:dyDescent="0.2">
      <c r="A27" s="11">
        <v>1904068</v>
      </c>
      <c r="B27" s="45"/>
      <c r="C27" s="37" t="s">
        <v>96</v>
      </c>
      <c r="D27" s="54">
        <v>44119</v>
      </c>
      <c r="E27" s="32">
        <v>52</v>
      </c>
      <c r="F27" s="33">
        <f t="array" ref="F27">IF(D27="","",SMALL(IF(ISNA(MATCH(ROW(INDEX(A:A,D27):INDEX(A:A,D27+E27+9)),F$3:F$21,)),ROW(INDEX(A:A,D27):INDEX(A:A,D27+E27+9))),E27))</f>
        <v>44171</v>
      </c>
      <c r="H27" s="31"/>
      <c r="M27" s="19"/>
    </row>
    <row r="28" spans="1:13" ht="30" customHeight="1" x14ac:dyDescent="0.2">
      <c r="A28" s="11">
        <v>1915436</v>
      </c>
      <c r="B28" s="12"/>
      <c r="C28" s="38" t="s">
        <v>97</v>
      </c>
      <c r="D28" s="54">
        <v>44089</v>
      </c>
      <c r="E28" s="32">
        <v>44</v>
      </c>
      <c r="F28" s="33">
        <f t="array" ref="F28">IF(D28="","",SMALL(IF(ISNA(MATCH(ROW(INDEX(A:A,D28):INDEX(A:A,D28+E28+9)),F$3:F$21,)),ROW(INDEX(A:A,D28):INDEX(A:A,D28+E28+9))),E28))</f>
        <v>44132</v>
      </c>
      <c r="H28" s="31"/>
      <c r="M28" s="19"/>
    </row>
    <row r="29" spans="1:13" ht="30" customHeight="1" x14ac:dyDescent="0.2">
      <c r="A29" s="11">
        <v>1912045</v>
      </c>
      <c r="B29" s="12"/>
      <c r="C29" s="38" t="s">
        <v>97</v>
      </c>
      <c r="D29" s="54">
        <v>43905</v>
      </c>
      <c r="E29" s="32">
        <v>52</v>
      </c>
      <c r="F29" s="33">
        <f t="array" ref="F29">IF(D29="","",SMALL(IF(ISNA(MATCH(ROW(INDEX(A:A,D29):INDEX(A:A,D29+E29+9)),F$3:F$21,)),ROW(INDEX(A:A,D29):INDEX(A:A,D29+E29+9))),E29))</f>
        <v>43957</v>
      </c>
      <c r="H29" s="31"/>
      <c r="M29" s="19"/>
    </row>
    <row r="30" spans="1:13" ht="30" customHeight="1" x14ac:dyDescent="0.2">
      <c r="A30" s="44">
        <v>1912103</v>
      </c>
      <c r="B30" s="46"/>
      <c r="C30" s="38" t="s">
        <v>97</v>
      </c>
      <c r="D30" s="54">
        <v>44027</v>
      </c>
      <c r="E30" s="32">
        <v>52</v>
      </c>
      <c r="F30" s="33">
        <f t="array" ref="F30">IF(D30="","",SMALL(IF(ISNA(MATCH(ROW(INDEX(A:A,D30):INDEX(A:A,D30+E30+9)),F$3:F$21,)),ROW(INDEX(A:A,D30):INDEX(A:A,D30+E30+9))),E30))</f>
        <v>44078</v>
      </c>
      <c r="H30" s="31"/>
      <c r="M30" s="19"/>
    </row>
    <row r="31" spans="1:13" ht="30" customHeight="1" x14ac:dyDescent="0.2">
      <c r="A31" s="44">
        <v>1912622</v>
      </c>
      <c r="B31" s="12"/>
      <c r="C31" s="38" t="s">
        <v>98</v>
      </c>
      <c r="D31" s="54">
        <v>43936</v>
      </c>
      <c r="E31" s="32">
        <v>52</v>
      </c>
      <c r="F31" s="33">
        <f t="array" ref="F31">IF(D31="","",SMALL(IF(ISNA(MATCH(ROW(INDEX(A:A,D31):INDEX(A:A,D31+E31+9)),F$3:F$21,)),ROW(INDEX(A:A,D31):INDEX(A:A,D31+E31+9))),E31))</f>
        <v>43989</v>
      </c>
      <c r="H31" s="31"/>
      <c r="M31" s="19"/>
    </row>
    <row r="32" spans="1:13" ht="30" customHeight="1" x14ac:dyDescent="0.2">
      <c r="A32" s="44">
        <v>1912114</v>
      </c>
      <c r="B32" s="12"/>
      <c r="C32" s="38" t="s">
        <v>98</v>
      </c>
      <c r="D32" s="54">
        <v>43997</v>
      </c>
      <c r="E32" s="32">
        <v>52</v>
      </c>
      <c r="F32" s="33">
        <f t="array" ref="F32">IF(D32="","",SMALL(IF(ISNA(MATCH(ROW(INDEX(A:A,D32):INDEX(A:A,D32+E32+9)),F$3:F$21,)),ROW(INDEX(A:A,D32):INDEX(A:A,D32+E32+9))),E32))</f>
        <v>44048</v>
      </c>
      <c r="H32" s="31"/>
      <c r="M32" s="19"/>
    </row>
    <row r="33" spans="1:13" ht="30" customHeight="1" x14ac:dyDescent="0.2">
      <c r="A33" s="44">
        <v>1925206</v>
      </c>
      <c r="B33" s="46"/>
      <c r="C33" s="37" t="s">
        <v>99</v>
      </c>
      <c r="D33" s="54">
        <v>43966</v>
      </c>
      <c r="E33" s="32">
        <v>52</v>
      </c>
      <c r="F33" s="33">
        <f t="array" ref="F33">IF(D33="","",SMALL(IF(ISNA(MATCH(ROW(INDEX(A:A,D33):INDEX(A:A,D33+E33+9)),F$3:F$21,)),ROW(INDEX(A:A,D33):INDEX(A:A,D33+E33+9))),E33))</f>
        <v>44018</v>
      </c>
      <c r="H33" s="31"/>
      <c r="M33" s="19"/>
    </row>
    <row r="34" spans="1:13" ht="30" customHeight="1" x14ac:dyDescent="0.2">
      <c r="A34" s="11">
        <v>1904059</v>
      </c>
      <c r="B34" s="12"/>
      <c r="C34" s="37" t="s">
        <v>96</v>
      </c>
      <c r="D34" s="54">
        <v>44035</v>
      </c>
      <c r="E34" s="32">
        <v>52</v>
      </c>
      <c r="F34" s="33">
        <f t="array" ref="F34">IF(D34="","",SMALL(IF(ISNA(MATCH(ROW(INDEX(A:A,D34):INDEX(A:A,D34+E34+9)),F$3:F$21,)),ROW(INDEX(A:A,D34):INDEX(A:A,D34+E34+9))),E34))</f>
        <v>44086</v>
      </c>
      <c r="H34" s="31"/>
      <c r="M34" s="19"/>
    </row>
    <row r="35" spans="1:13" ht="30" customHeight="1" x14ac:dyDescent="0.2">
      <c r="A35" s="11">
        <v>1912510</v>
      </c>
      <c r="B35" s="12"/>
      <c r="C35" s="38" t="s">
        <v>97</v>
      </c>
      <c r="D35" s="54">
        <v>43952</v>
      </c>
      <c r="E35" s="32">
        <v>52</v>
      </c>
      <c r="F35" s="33">
        <f t="array" ref="F35">IF(D35="","",SMALL(IF(ISNA(MATCH(ROW(INDEX(A:A,D35):INDEX(A:A,D35+E35+9)),F$3:F$21,)),ROW(INDEX(A:A,D35):INDEX(A:A,D35+E35+9))),E35))</f>
        <v>44006</v>
      </c>
      <c r="H35" s="31"/>
    </row>
    <row r="36" spans="1:13" ht="30" customHeight="1" x14ac:dyDescent="0.2">
      <c r="A36" s="11">
        <v>1912130</v>
      </c>
      <c r="B36" s="12"/>
      <c r="C36" s="38" t="s">
        <v>97</v>
      </c>
      <c r="D36" s="54">
        <v>44013</v>
      </c>
      <c r="E36" s="32">
        <v>52</v>
      </c>
      <c r="F36" s="33">
        <f t="array" ref="F36">IF(D36="","",SMALL(IF(ISNA(MATCH(ROW(INDEX(A:A,D36):INDEX(A:A,D36+E36+9)),F$3:F$21,)),ROW(INDEX(A:A,D36):INDEX(A:A,D36+E36+9))),E36))</f>
        <v>44064</v>
      </c>
      <c r="H36" s="31"/>
    </row>
    <row r="37" spans="1:13" ht="30" customHeight="1" x14ac:dyDescent="0.2">
      <c r="A37" s="11">
        <v>1915704</v>
      </c>
      <c r="B37" s="12"/>
      <c r="C37" s="38" t="s">
        <v>97</v>
      </c>
      <c r="D37" s="54">
        <v>44136</v>
      </c>
      <c r="E37" s="32">
        <v>52</v>
      </c>
      <c r="F37" s="33">
        <f t="array" ref="F37">IF(D37="","",SMALL(IF(ISNA(MATCH(ROW(INDEX(A:A,D37):INDEX(A:A,D37+E37+9)),F$3:F$21,)),ROW(INDEX(A:A,D37):INDEX(A:A,D37+E37+9))),E37))</f>
        <v>44188</v>
      </c>
      <c r="H37" s="31"/>
    </row>
    <row r="38" spans="1:13" ht="30" customHeight="1" x14ac:dyDescent="0.2">
      <c r="A38" s="11">
        <v>1912044</v>
      </c>
      <c r="B38" s="12"/>
      <c r="C38" s="38" t="s">
        <v>98</v>
      </c>
      <c r="D38" s="54">
        <v>44013</v>
      </c>
      <c r="E38" s="32">
        <v>49</v>
      </c>
      <c r="F38" s="33">
        <f t="array" ref="F38">IF(D38="","",SMALL(IF(ISNA(MATCH(ROW(INDEX(A:A,D38):INDEX(A:A,D38+E38+9)),F$3:F$21,)),ROW(INDEX(A:A,D38):INDEX(A:A,D38+E38+9))),E38))</f>
        <v>44061</v>
      </c>
      <c r="H38" s="31"/>
    </row>
    <row r="39" spans="1:13" ht="30" customHeight="1" x14ac:dyDescent="0.2">
      <c r="A39" s="44">
        <v>1927879</v>
      </c>
      <c r="B39" s="12"/>
      <c r="C39" s="38" t="s">
        <v>98</v>
      </c>
      <c r="D39" s="54">
        <v>43983</v>
      </c>
      <c r="E39" s="32">
        <v>30</v>
      </c>
      <c r="F39" s="33">
        <f t="array" ref="F39">IF(D39="","",SMALL(IF(ISNA(MATCH(ROW(INDEX(A:A,D39):INDEX(A:A,D39+E39+9)),F$3:F$21,)),ROW(INDEX(A:A,D39):INDEX(A:A,D39+E39+9))),E39))</f>
        <v>44013</v>
      </c>
      <c r="H39" s="31"/>
    </row>
    <row r="40" spans="1:13" ht="30" customHeight="1" x14ac:dyDescent="0.2">
      <c r="A40" s="11">
        <v>1912037</v>
      </c>
      <c r="B40" s="12"/>
      <c r="C40" s="38" t="s">
        <v>98</v>
      </c>
      <c r="D40" s="54">
        <v>44075</v>
      </c>
      <c r="E40" s="32">
        <v>52</v>
      </c>
      <c r="F40" s="33">
        <f t="array" ref="F40">IF(D40="","",SMALL(IF(ISNA(MATCH(ROW(INDEX(A:A,D40):INDEX(A:A,D40+E40+9)),F$3:F$21,)),ROW(INDEX(A:A,D40):INDEX(A:A,D40+E40+9))),E40))</f>
        <v>44126</v>
      </c>
      <c r="H40" s="31"/>
    </row>
    <row r="41" spans="1:13" ht="30" customHeight="1" x14ac:dyDescent="0.2">
      <c r="A41" s="11">
        <v>1913850</v>
      </c>
      <c r="B41" s="12"/>
      <c r="C41" s="37" t="s">
        <v>99</v>
      </c>
      <c r="D41" s="54">
        <v>44075</v>
      </c>
      <c r="E41" s="32">
        <v>52</v>
      </c>
      <c r="F41" s="33">
        <f t="array" ref="F41">IF(D41="","",SMALL(IF(ISNA(MATCH(ROW(INDEX(A:A,D41):INDEX(A:A,D41+E41+9)),F$3:F$21,)),ROW(INDEX(A:A,D41):INDEX(A:A,D41+E41+9))),E41))</f>
        <v>44126</v>
      </c>
      <c r="H41" s="31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График</vt:lpstr>
      <vt:lpstr>Табель</vt:lpstr>
      <vt:lpstr>Параметры</vt:lpstr>
      <vt:lpstr>График!Заголовки_для_печати</vt:lpstr>
      <vt:lpstr>Табель!Заголовки_для_печати</vt:lpstr>
      <vt:lpstr>График!Область_печати</vt:lpstr>
    </vt:vector>
  </TitlesOfParts>
  <Company>ООО Газпром трансгаз Сургут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Кутельникова Елена Викторовна</dc:creator>
  <cp:lastModifiedBy>Кутельникова Елена Викторовна</cp:lastModifiedBy>
  <cp:lastPrinted>2020-02-02T13:19:44Z</cp:lastPrinted>
  <dcterms:created xsi:type="dcterms:W3CDTF">2019-01-18T12:31:43Z</dcterms:created>
  <dcterms:modified xsi:type="dcterms:W3CDTF">2020-02-03T12:21:24Z</dcterms:modified>
</cp:coreProperties>
</file>