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60" windowWidth="19440" windowHeight="13830"/>
  </bookViews>
  <sheets>
    <sheet name="График" sheetId="1" r:id="rId1"/>
    <sheet name="Параметры" sheetId="2" r:id="rId2"/>
  </sheets>
  <externalReferences>
    <externalReference r:id="rId3"/>
  </externalReferences>
  <definedNames>
    <definedName name="год">[1]Календарь!$C$1:$C$12</definedName>
    <definedName name="допнер">[1]Календарь!$H$2:$H$20</definedName>
    <definedName name="_xlnm.Print_Titles" localSheetId="0">График!$1:$3</definedName>
    <definedName name="месяц">[1]Календарь!$A$1:$A$12</definedName>
    <definedName name="_xlnm.Print_Area" localSheetId="0">График!$A$1:$AN$63</definedName>
    <definedName name="празд">[1]Календарь!$G$2:$G$20</definedName>
    <definedName name="предпр">[1]Календарь!$F$2:$F$20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D9" i="1"/>
  <c r="E9" i="1"/>
  <c r="F9" i="1"/>
  <c r="G9" i="1"/>
  <c r="H9" i="1"/>
  <c r="I9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8" i="1" l="1"/>
  <c r="AJ9" i="1"/>
  <c r="A28" i="1"/>
  <c r="B28" i="1"/>
  <c r="C28" i="1"/>
  <c r="AJ28" i="1"/>
  <c r="AK28" i="1"/>
  <c r="A29" i="1"/>
  <c r="B29" i="1"/>
  <c r="C29" i="1"/>
  <c r="AJ29" i="1"/>
  <c r="AK29" i="1"/>
  <c r="A30" i="1"/>
  <c r="B30" i="1"/>
  <c r="C30" i="1"/>
  <c r="AJ30" i="1"/>
  <c r="AK30" i="1"/>
  <c r="A31" i="1"/>
  <c r="B31" i="1"/>
  <c r="C31" i="1"/>
  <c r="AJ31" i="1"/>
  <c r="AK31" i="1"/>
  <c r="A32" i="1"/>
  <c r="B32" i="1"/>
  <c r="C32" i="1"/>
  <c r="AJ32" i="1"/>
  <c r="AK32" i="1"/>
  <c r="A33" i="1"/>
  <c r="B33" i="1"/>
  <c r="C33" i="1"/>
  <c r="AJ33" i="1"/>
  <c r="AK33" i="1"/>
  <c r="A34" i="1"/>
  <c r="B34" i="1"/>
  <c r="C34" i="1"/>
  <c r="AJ34" i="1"/>
  <c r="AK34" i="1"/>
  <c r="A35" i="1"/>
  <c r="B35" i="1"/>
  <c r="C35" i="1"/>
  <c r="AJ35" i="1"/>
  <c r="AK35" i="1"/>
  <c r="A36" i="1"/>
  <c r="B36" i="1"/>
  <c r="C36" i="1"/>
  <c r="AJ36" i="1"/>
  <c r="AK36" i="1"/>
  <c r="A37" i="1"/>
  <c r="B37" i="1"/>
  <c r="C37" i="1"/>
  <c r="AJ37" i="1"/>
  <c r="AK37" i="1"/>
  <c r="A38" i="1"/>
  <c r="B38" i="1"/>
  <c r="C38" i="1"/>
  <c r="AJ38" i="1"/>
  <c r="AK38" i="1"/>
  <c r="A39" i="1"/>
  <c r="B39" i="1"/>
  <c r="C39" i="1"/>
  <c r="AJ39" i="1"/>
  <c r="AK39" i="1"/>
  <c r="A40" i="1"/>
  <c r="B40" i="1"/>
  <c r="C40" i="1"/>
  <c r="AJ40" i="1"/>
  <c r="AK40" i="1"/>
  <c r="A41" i="1"/>
  <c r="B41" i="1"/>
  <c r="C41" i="1"/>
  <c r="AJ41" i="1"/>
  <c r="AK41" i="1"/>
  <c r="A42" i="1"/>
  <c r="B42" i="1"/>
  <c r="C42" i="1"/>
  <c r="AJ42" i="1"/>
  <c r="AK42" i="1"/>
  <c r="A43" i="1"/>
  <c r="B43" i="1"/>
  <c r="C43" i="1"/>
  <c r="AJ43" i="1"/>
  <c r="AK43" i="1"/>
  <c r="T45" i="1"/>
  <c r="A48" i="1"/>
  <c r="B48" i="1"/>
  <c r="C48" i="1"/>
  <c r="AJ48" i="1"/>
  <c r="AK48" i="1"/>
  <c r="A49" i="1"/>
  <c r="B49" i="1"/>
  <c r="C49" i="1"/>
  <c r="AJ49" i="1"/>
  <c r="AK49" i="1"/>
  <c r="A50" i="1"/>
  <c r="B50" i="1"/>
  <c r="C50" i="1"/>
  <c r="AJ50" i="1"/>
  <c r="AK50" i="1"/>
  <c r="A51" i="1"/>
  <c r="B51" i="1"/>
  <c r="C51" i="1"/>
  <c r="AJ51" i="1"/>
  <c r="AK51" i="1"/>
  <c r="A52" i="1"/>
  <c r="B52" i="1"/>
  <c r="C52" i="1"/>
  <c r="AJ52" i="1"/>
  <c r="AK52" i="1"/>
  <c r="A53" i="1"/>
  <c r="B53" i="1"/>
  <c r="C53" i="1"/>
  <c r="AJ53" i="1"/>
  <c r="AK53" i="1"/>
  <c r="A54" i="1"/>
  <c r="B54" i="1"/>
  <c r="C54" i="1"/>
  <c r="AJ54" i="1"/>
  <c r="AK54" i="1"/>
  <c r="A55" i="1"/>
  <c r="B55" i="1"/>
  <c r="C55" i="1"/>
  <c r="AJ55" i="1"/>
  <c r="AK55" i="1"/>
  <c r="A56" i="1"/>
  <c r="B56" i="1"/>
  <c r="C56" i="1"/>
  <c r="AJ56" i="1"/>
  <c r="AK56" i="1"/>
  <c r="A57" i="1"/>
  <c r="B57" i="1"/>
  <c r="C57" i="1"/>
  <c r="AJ57" i="1"/>
  <c r="AK57" i="1"/>
  <c r="AJ63" i="1"/>
  <c r="AJ62" i="1"/>
  <c r="AJ61" i="1"/>
  <c r="AJ60" i="1"/>
  <c r="AJ59" i="1"/>
  <c r="AJ58" i="1"/>
  <c r="D47" i="1" l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N63" i="1"/>
  <c r="AN55" i="1"/>
  <c r="AN60" i="1"/>
  <c r="AN51" i="1"/>
  <c r="AG47" i="1"/>
  <c r="AH47" i="1"/>
  <c r="AF47" i="1"/>
  <c r="AL51" i="1" l="1"/>
  <c r="AL55" i="1"/>
  <c r="AL57" i="1"/>
  <c r="AL53" i="1"/>
  <c r="AL49" i="1"/>
  <c r="AL50" i="1" l="1"/>
  <c r="AL48" i="1"/>
  <c r="AL56" i="1"/>
  <c r="AL54" i="1"/>
  <c r="AL52" i="1"/>
  <c r="AK63" i="1" l="1"/>
  <c r="AK62" i="1"/>
  <c r="AK61" i="1"/>
  <c r="AK60" i="1"/>
  <c r="AK59" i="1"/>
  <c r="AK58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58" i="1"/>
  <c r="A59" i="1"/>
  <c r="A60" i="1"/>
  <c r="A61" i="1"/>
  <c r="A62" i="1"/>
  <c r="A63" i="1"/>
  <c r="C63" i="1"/>
  <c r="B63" i="1"/>
  <c r="C8" i="1"/>
  <c r="C61" i="1" l="1"/>
  <c r="C62" i="1"/>
  <c r="C23" i="1"/>
  <c r="B20" i="1"/>
  <c r="B21" i="1"/>
  <c r="B22" i="1"/>
  <c r="B23" i="1"/>
  <c r="A20" i="1"/>
  <c r="A21" i="1"/>
  <c r="A22" i="1"/>
  <c r="A23" i="1"/>
  <c r="C1" i="1" l="1"/>
  <c r="F41" i="2" l="1" a="1"/>
  <c r="F41" i="2" s="1"/>
  <c r="F40" i="2" a="1"/>
  <c r="F40" i="2" s="1"/>
  <c r="F39" i="2" a="1"/>
  <c r="F39" i="2" s="1"/>
  <c r="F38" i="2" a="1"/>
  <c r="F38" i="2" s="1"/>
  <c r="F37" i="2" a="1"/>
  <c r="F37" i="2" s="1"/>
  <c r="F36" i="2" a="1"/>
  <c r="F36" i="2" s="1"/>
  <c r="F35" i="2" a="1"/>
  <c r="F35" i="2" s="1"/>
  <c r="F34" i="2" a="1"/>
  <c r="F34" i="2" s="1"/>
  <c r="F33" i="2" a="1"/>
  <c r="F33" i="2" s="1"/>
  <c r="F32" i="2" a="1"/>
  <c r="F32" i="2" s="1"/>
  <c r="F31" i="2" a="1"/>
  <c r="F31" i="2" s="1"/>
  <c r="F30" i="2" a="1"/>
  <c r="F30" i="2" s="1"/>
  <c r="F29" i="2" a="1"/>
  <c r="F29" i="2" s="1"/>
  <c r="F28" i="2" a="1"/>
  <c r="F28" i="2" s="1"/>
  <c r="F27" i="2" a="1"/>
  <c r="F27" i="2" s="1"/>
  <c r="F26" i="2" a="1"/>
  <c r="F26" i="2" s="1"/>
  <c r="T5" i="1" l="1"/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N23" i="1"/>
  <c r="AN17" i="1"/>
  <c r="AN15" i="1"/>
  <c r="AN20" i="1"/>
  <c r="AN11" i="1"/>
  <c r="AH7" i="1"/>
  <c r="AF7" i="1"/>
  <c r="AG7" i="1"/>
  <c r="AN9" i="1"/>
  <c r="AN8" i="1"/>
  <c r="AI8" i="1" s="1"/>
  <c r="AN13" i="1"/>
  <c r="AN19" i="1"/>
  <c r="AN21" i="1"/>
  <c r="AI23" i="1"/>
  <c r="AN10" i="1"/>
  <c r="AN12" i="1"/>
  <c r="AN14" i="1"/>
  <c r="AN16" i="1"/>
  <c r="AN18" i="1"/>
  <c r="AN22" i="1"/>
  <c r="C58" i="1"/>
  <c r="C59" i="1"/>
  <c r="C60" i="1"/>
  <c r="B58" i="1"/>
  <c r="B59" i="1"/>
  <c r="B60" i="1"/>
  <c r="B61" i="1"/>
  <c r="B62" i="1"/>
  <c r="AN49" i="1" l="1"/>
  <c r="AI49" i="1" s="1"/>
  <c r="AI51" i="1"/>
  <c r="AN53" i="1"/>
  <c r="AI53" i="1" s="1"/>
  <c r="AI55" i="1"/>
  <c r="AN57" i="1"/>
  <c r="AI57" i="1" s="1"/>
  <c r="AN59" i="1"/>
  <c r="AN61" i="1"/>
  <c r="AI63" i="1"/>
  <c r="AN50" i="1"/>
  <c r="AI50" i="1" s="1"/>
  <c r="AN52" i="1"/>
  <c r="AI52" i="1" s="1"/>
  <c r="AN54" i="1"/>
  <c r="AI54" i="1" s="1"/>
  <c r="AN56" i="1"/>
  <c r="AI56" i="1" s="1"/>
  <c r="AN58" i="1"/>
  <c r="AN62" i="1"/>
  <c r="AN48" i="1"/>
  <c r="AI48" i="1" s="1"/>
  <c r="T25" i="1" l="1"/>
  <c r="D27" i="1" l="1"/>
  <c r="AN43" i="1"/>
  <c r="AI43" i="1" s="1"/>
  <c r="AN37" i="1"/>
  <c r="AI37" i="1" s="1"/>
  <c r="AN31" i="1"/>
  <c r="AI31" i="1" s="1"/>
  <c r="AN40" i="1"/>
  <c r="AN35" i="1"/>
  <c r="AI35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N29" i="1"/>
  <c r="AI29" i="1" s="1"/>
  <c r="AN33" i="1"/>
  <c r="AI33" i="1" s="1"/>
  <c r="AN39" i="1"/>
  <c r="AI39" i="1" s="1"/>
  <c r="AN41" i="1"/>
  <c r="AI41" i="1" s="1"/>
  <c r="AN30" i="1"/>
  <c r="AI30" i="1" s="1"/>
  <c r="AN32" i="1"/>
  <c r="AI32" i="1" s="1"/>
  <c r="AN34" i="1"/>
  <c r="AI34" i="1" s="1"/>
  <c r="AN36" i="1"/>
  <c r="AI36" i="1" s="1"/>
  <c r="AN38" i="1"/>
  <c r="AI38" i="1" s="1"/>
  <c r="AI40" i="1"/>
  <c r="AN42" i="1"/>
  <c r="AI42" i="1" s="1"/>
  <c r="AN28" i="1"/>
  <c r="AI28" i="1" s="1"/>
  <c r="AL63" i="1"/>
  <c r="AI21" i="1"/>
  <c r="AI14" i="1"/>
  <c r="AI13" i="1"/>
  <c r="AI22" i="1"/>
  <c r="AI20" i="1"/>
  <c r="AI12" i="1"/>
  <c r="AI19" i="1"/>
  <c r="AI11" i="1"/>
  <c r="AI18" i="1"/>
  <c r="AI10" i="1"/>
  <c r="AI17" i="1"/>
  <c r="AI16" i="1"/>
  <c r="AI15" i="1"/>
  <c r="AH27" i="1" l="1"/>
  <c r="AG27" i="1"/>
  <c r="AF27" i="1"/>
  <c r="AL41" i="1" l="1"/>
  <c r="AL30" i="1"/>
  <c r="AL31" i="1"/>
  <c r="AL29" i="1"/>
  <c r="AL35" i="1"/>
  <c r="AL28" i="1"/>
  <c r="AL34" i="1"/>
  <c r="AL36" i="1"/>
  <c r="AL38" i="1"/>
  <c r="AL40" i="1"/>
  <c r="AL39" i="1"/>
  <c r="AL32" i="1"/>
  <c r="AL43" i="1"/>
  <c r="AL42" i="1"/>
  <c r="AL33" i="1"/>
  <c r="AL37" i="1"/>
  <c r="F1" i="1"/>
  <c r="D1" i="1"/>
  <c r="B10" i="1"/>
  <c r="B11" i="1"/>
  <c r="B12" i="1"/>
  <c r="B13" i="1"/>
  <c r="B14" i="1"/>
  <c r="B15" i="1"/>
  <c r="B16" i="1"/>
  <c r="B17" i="1"/>
  <c r="B18" i="1"/>
  <c r="B19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A9" i="1" l="1"/>
  <c r="A10" i="1"/>
  <c r="A11" i="1"/>
  <c r="A12" i="1"/>
  <c r="A13" i="1"/>
  <c r="A14" i="1"/>
  <c r="A15" i="1"/>
  <c r="A16" i="1"/>
  <c r="A17" i="1"/>
  <c r="A18" i="1"/>
  <c r="A19" i="1"/>
  <c r="A8" i="1"/>
  <c r="J1" i="2" l="1"/>
  <c r="AL13" i="1" l="1"/>
  <c r="AL11" i="1"/>
  <c r="AL17" i="1"/>
  <c r="AL23" i="1"/>
  <c r="AL12" i="1"/>
  <c r="AL16" i="1"/>
  <c r="AL20" i="1"/>
  <c r="AL15" i="1"/>
  <c r="AL19" i="1"/>
  <c r="AL10" i="1"/>
  <c r="AL14" i="1"/>
  <c r="AL18" i="1"/>
  <c r="AL22" i="1"/>
  <c r="AL21" i="1"/>
  <c r="AI58" i="1"/>
  <c r="AL58" i="1"/>
  <c r="AI62" i="1"/>
  <c r="AL62" i="1"/>
  <c r="AI61" i="1"/>
  <c r="AL61" i="1"/>
  <c r="AI59" i="1"/>
  <c r="AL59" i="1"/>
  <c r="AI60" i="1"/>
  <c r="AL60" i="1"/>
  <c r="AK9" i="1"/>
  <c r="AL9" i="1"/>
  <c r="AI9" i="1"/>
  <c r="AL8" i="1"/>
  <c r="AK8" i="1"/>
</calcChain>
</file>

<file path=xl/sharedStrings.xml><?xml version="1.0" encoding="utf-8"?>
<sst xmlns="http://schemas.openxmlformats.org/spreadsheetml/2006/main" count="106" uniqueCount="60">
  <si>
    <t>май</t>
  </si>
  <si>
    <t>г.</t>
  </si>
  <si>
    <t>таб №</t>
  </si>
  <si>
    <t>Ф. И. О.</t>
  </si>
  <si>
    <t>Месяц</t>
  </si>
  <si>
    <t>Число</t>
  </si>
  <si>
    <t>Год</t>
  </si>
  <si>
    <t>Наименование праздников</t>
  </si>
  <si>
    <t>Предпраздничные сокращенные дни</t>
  </si>
  <si>
    <t>Нерабочий праздничный день</t>
  </si>
  <si>
    <t>Перенесенные выходные дни</t>
  </si>
  <si>
    <t xml:space="preserve">Рабочие выходные </t>
  </si>
  <si>
    <t>Норма муж.</t>
  </si>
  <si>
    <t>Норма жен.</t>
  </si>
  <si>
    <t>январь</t>
  </si>
  <si>
    <t>Новый год</t>
  </si>
  <si>
    <t>февраль</t>
  </si>
  <si>
    <t>март</t>
  </si>
  <si>
    <t>апрель</t>
  </si>
  <si>
    <t>июнь</t>
  </si>
  <si>
    <t>июль</t>
  </si>
  <si>
    <t>Рождество</t>
  </si>
  <si>
    <t>август</t>
  </si>
  <si>
    <t>сентябрь</t>
  </si>
  <si>
    <t>Защитник</t>
  </si>
  <si>
    <t>октябрь</t>
  </si>
  <si>
    <t>Международный</t>
  </si>
  <si>
    <t>ноябрь</t>
  </si>
  <si>
    <t>декабрь</t>
  </si>
  <si>
    <t>Весна и туд</t>
  </si>
  <si>
    <t>День Победы</t>
  </si>
  <si>
    <t>День России</t>
  </si>
  <si>
    <t>День единства</t>
  </si>
  <si>
    <t>Ф.И.О.</t>
  </si>
  <si>
    <t>Отпуск</t>
  </si>
  <si>
    <t>Дней</t>
  </si>
  <si>
    <t>Конец отпуска расчет</t>
  </si>
  <si>
    <t>инженер</t>
  </si>
  <si>
    <t>Расчет:</t>
  </si>
  <si>
    <t>*Год графика:</t>
  </si>
  <si>
    <t>*Первый месяц квартала:</t>
  </si>
  <si>
    <t xml:space="preserve">                     График работы персонала</t>
  </si>
  <si>
    <t>Рабочий календарь</t>
  </si>
  <si>
    <t>участка № 5  на</t>
  </si>
  <si>
    <t>электроме-ханик</t>
  </si>
  <si>
    <t>начальник участка</t>
  </si>
  <si>
    <t>электро-монтер</t>
  </si>
  <si>
    <t>телефонист</t>
  </si>
  <si>
    <t>норма по ПФРВ</t>
  </si>
  <si>
    <t>всего по графику</t>
  </si>
  <si>
    <t>ночных</t>
  </si>
  <si>
    <t>праздничных</t>
  </si>
  <si>
    <t>ОТ, ПМ,Б</t>
  </si>
  <si>
    <t>Норма</t>
  </si>
  <si>
    <t>Профессия/должность</t>
  </si>
  <si>
    <t>Профессия /должность</t>
  </si>
  <si>
    <t>Таб.номер</t>
  </si>
  <si>
    <t>7,5/4</t>
  </si>
  <si>
    <t>ц</t>
  </si>
  <si>
    <t>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</si>
</sst>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d"/>
    <numFmt numFmtId="166" formatCode="dd/mm/yyyy\ ddd"/>
    <numFmt numFmtId="167" formatCode="mmm"/>
    <numFmt numFmtId="168" formatCode="mmmm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2"/>
      <color rgb="FF000000"/>
      <name val="Verdana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1" applyFont="1"/>
    <xf numFmtId="0" fontId="3" fillId="0" borderId="0" xfId="1" applyFont="1" applyAlignment="1"/>
    <xf numFmtId="1" fontId="3" fillId="0" borderId="0" xfId="1" applyNumberFormat="1" applyFont="1"/>
    <xf numFmtId="164" fontId="3" fillId="0" borderId="0" xfId="1" applyNumberFormat="1" applyFont="1"/>
    <xf numFmtId="1" fontId="5" fillId="0" borderId="0" xfId="1" applyNumberFormat="1" applyFont="1"/>
    <xf numFmtId="1" fontId="4" fillId="0" borderId="0" xfId="1" applyNumberFormat="1" applyFont="1"/>
    <xf numFmtId="1" fontId="5" fillId="0" borderId="0" xfId="1" applyNumberFormat="1" applyFont="1" applyAlignment="1"/>
    <xf numFmtId="0" fontId="7" fillId="0" borderId="0" xfId="1" applyFont="1"/>
    <xf numFmtId="165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/>
    <xf numFmtId="0" fontId="5" fillId="0" borderId="2" xfId="2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left" vertical="center"/>
    </xf>
    <xf numFmtId="0" fontId="5" fillId="0" borderId="2" xfId="3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164" fontId="9" fillId="3" borderId="2" xfId="4" applyNumberFormat="1" applyFont="1" applyFill="1" applyBorder="1" applyAlignment="1">
      <alignment horizontal="center" vertical="top" wrapText="1"/>
    </xf>
    <xf numFmtId="164" fontId="5" fillId="2" borderId="2" xfId="1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14" fontId="0" fillId="0" borderId="0" xfId="0" applyNumberFormat="1"/>
    <xf numFmtId="0" fontId="13" fillId="0" borderId="0" xfId="1" applyFont="1"/>
    <xf numFmtId="0" fontId="13" fillId="0" borderId="0" xfId="1" applyFont="1" applyAlignment="1"/>
    <xf numFmtId="1" fontId="13" fillId="0" borderId="0" xfId="1" applyNumberFormat="1" applyFont="1"/>
    <xf numFmtId="1" fontId="13" fillId="0" borderId="0" xfId="1" applyNumberFormat="1" applyFont="1" applyAlignment="1"/>
    <xf numFmtId="164" fontId="13" fillId="0" borderId="0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3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shrinkToFit="1"/>
    </xf>
    <xf numFmtId="0" fontId="5" fillId="0" borderId="2" xfId="2" applyFont="1" applyFill="1" applyBorder="1" applyAlignment="1">
      <alignment horizontal="left" vertical="center" wrapText="1" shrinkToFit="1"/>
    </xf>
    <xf numFmtId="0" fontId="0" fillId="0" borderId="0" xfId="0" applyBorder="1"/>
    <xf numFmtId="1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locked="0"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2" xfId="1" applyFont="1" applyBorder="1"/>
    <xf numFmtId="164" fontId="5" fillId="0" borderId="2" xfId="3" applyNumberFormat="1" applyFont="1" applyFill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2" xfId="0" quotePrefix="1" applyFont="1" applyFill="1" applyBorder="1" applyAlignment="1" applyProtection="1">
      <alignment horizontal="center" vertical="center" wrapText="1"/>
      <protection locked="0"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2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164" fontId="9" fillId="0" borderId="2" xfId="4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/>
    </xf>
    <xf numFmtId="0" fontId="3" fillId="0" borderId="2" xfId="1" applyFont="1" applyFill="1" applyBorder="1"/>
    <xf numFmtId="0" fontId="8" fillId="0" borderId="2" xfId="2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wrapText="1"/>
    </xf>
    <xf numFmtId="167" fontId="16" fillId="0" borderId="2" xfId="7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>
      <alignment horizontal="center"/>
    </xf>
    <xf numFmtId="0" fontId="8" fillId="0" borderId="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17" fillId="2" borderId="2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/>
    </xf>
    <xf numFmtId="15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166" fontId="5" fillId="6" borderId="2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166" fontId="5" fillId="5" borderId="2" xfId="1" applyNumberFormat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center" vertical="center" wrapText="1"/>
    </xf>
    <xf numFmtId="15" fontId="5" fillId="7" borderId="2" xfId="1" applyNumberFormat="1" applyFont="1" applyFill="1" applyBorder="1" applyAlignment="1">
      <alignment horizontal="center" vertical="center"/>
    </xf>
    <xf numFmtId="166" fontId="5" fillId="7" borderId="2" xfId="1" applyNumberFormat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0" fontId="17" fillId="8" borderId="2" xfId="1" applyFont="1" applyFill="1" applyBorder="1" applyAlignment="1">
      <alignment horizontal="center" vertical="center" wrapText="1"/>
    </xf>
    <xf numFmtId="166" fontId="5" fillId="8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13" fillId="0" borderId="0" xfId="1" applyNumberFormat="1" applyFont="1" applyAlignment="1">
      <alignment horizontal="right"/>
    </xf>
    <xf numFmtId="168" fontId="14" fillId="0" borderId="1" xfId="1" applyNumberFormat="1" applyFont="1" applyBorder="1" applyAlignment="1">
      <alignment horizontal="center"/>
    </xf>
    <xf numFmtId="1" fontId="13" fillId="0" borderId="1" xfId="1" applyNumberFormat="1" applyFont="1" applyBorder="1" applyAlignment="1">
      <alignment horizontal="center"/>
    </xf>
    <xf numFmtId="1" fontId="13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167" fontId="6" fillId="0" borderId="2" xfId="7" applyNumberFormat="1" applyFont="1" applyFill="1" applyBorder="1" applyAlignment="1" applyProtection="1">
      <alignment horizontal="center" vertical="center"/>
      <protection hidden="1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horizontal="center" vertical="center"/>
    </xf>
  </cellXfs>
  <cellStyles count="8">
    <cellStyle name="Гиперссылка" xfId="7" builtinId="8"/>
    <cellStyle name="Обычный" xfId="0" builtinId="0"/>
    <cellStyle name="Обычный 2" xfId="5"/>
    <cellStyle name="Обычный 3" xfId="4"/>
    <cellStyle name="Обычный 4" xfId="6"/>
    <cellStyle name="Обычный_ВАХТА 2012  для работников" xfId="3"/>
    <cellStyle name="Обычный_Графики УС-5 март-декабрь 2010" xfId="2"/>
    <cellStyle name="Обычный_Копия График работы персонала УС5 на 2011год" xfId="1"/>
  </cellStyles>
  <dxfs count="13"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69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69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69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</dxfs>
  <tableStyles count="0" defaultTableStyle="TableStyleMedium2" defaultPivotStyle="PivotStyleLight16"/>
  <colors>
    <mruColors>
      <color rgb="FFCCEC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&#1057;&#1087;&#1080;&#1089;&#1072;&#1085;&#1080;&#1077;\&#1053;&#1086;&#1074;&#1072;&#1103;%20&#1087;&#1072;&#1087;&#1082;&#1072;\&#1043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Календарь"/>
      <sheetName val="Лист1"/>
      <sheetName val="Лист2"/>
      <sheetName val="Лист3"/>
    </sheetNames>
    <sheetDataSet>
      <sheetData sheetId="0"/>
      <sheetData sheetId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  <cell r="F2">
            <v>0</v>
          </cell>
          <cell r="G2">
            <v>43101</v>
          </cell>
          <cell r="H2">
            <v>0</v>
          </cell>
        </row>
        <row r="3">
          <cell r="A3" t="str">
            <v>март</v>
          </cell>
          <cell r="C3">
            <v>2012</v>
          </cell>
          <cell r="F3">
            <v>0</v>
          </cell>
          <cell r="G3">
            <v>43102</v>
          </cell>
          <cell r="H3">
            <v>0</v>
          </cell>
        </row>
        <row r="4">
          <cell r="A4" t="str">
            <v>апрель</v>
          </cell>
          <cell r="C4">
            <v>2013</v>
          </cell>
          <cell r="F4">
            <v>0</v>
          </cell>
          <cell r="G4">
            <v>43103</v>
          </cell>
          <cell r="H4">
            <v>0</v>
          </cell>
        </row>
        <row r="5">
          <cell r="A5" t="str">
            <v>май</v>
          </cell>
          <cell r="C5">
            <v>2014</v>
          </cell>
          <cell r="F5">
            <v>0</v>
          </cell>
          <cell r="G5">
            <v>43104</v>
          </cell>
          <cell r="H5">
            <v>0</v>
          </cell>
        </row>
        <row r="6">
          <cell r="A6" t="str">
            <v>июнь</v>
          </cell>
          <cell r="C6">
            <v>2015</v>
          </cell>
          <cell r="F6">
            <v>0</v>
          </cell>
          <cell r="G6">
            <v>43105</v>
          </cell>
          <cell r="H6">
            <v>0</v>
          </cell>
        </row>
        <row r="7">
          <cell r="A7" t="str">
            <v>июль</v>
          </cell>
          <cell r="C7">
            <v>2016</v>
          </cell>
          <cell r="F7">
            <v>0</v>
          </cell>
          <cell r="G7">
            <v>43106</v>
          </cell>
          <cell r="H7">
            <v>0</v>
          </cell>
        </row>
        <row r="8">
          <cell r="A8" t="str">
            <v>август</v>
          </cell>
          <cell r="C8">
            <v>2017</v>
          </cell>
          <cell r="F8">
            <v>0</v>
          </cell>
          <cell r="G8">
            <v>43107</v>
          </cell>
          <cell r="H8">
            <v>0</v>
          </cell>
        </row>
        <row r="9">
          <cell r="A9" t="str">
            <v>сентябрь</v>
          </cell>
          <cell r="C9">
            <v>2018</v>
          </cell>
          <cell r="F9">
            <v>0</v>
          </cell>
          <cell r="G9">
            <v>43108</v>
          </cell>
          <cell r="H9">
            <v>0</v>
          </cell>
        </row>
        <row r="10">
          <cell r="A10" t="str">
            <v>октябрь</v>
          </cell>
          <cell r="C10">
            <v>2019</v>
          </cell>
          <cell r="F10">
            <v>43153</v>
          </cell>
          <cell r="G10">
            <v>43154</v>
          </cell>
          <cell r="H10">
            <v>0</v>
          </cell>
        </row>
        <row r="11">
          <cell r="A11" t="str">
            <v>ноябрь</v>
          </cell>
          <cell r="C11">
            <v>2020</v>
          </cell>
          <cell r="F11">
            <v>43166</v>
          </cell>
          <cell r="G11">
            <v>43167</v>
          </cell>
          <cell r="H11">
            <v>0</v>
          </cell>
        </row>
        <row r="12">
          <cell r="A12" t="str">
            <v>декабрь</v>
          </cell>
          <cell r="C12">
            <v>2021</v>
          </cell>
          <cell r="F12">
            <v>0</v>
          </cell>
          <cell r="G12">
            <v>0</v>
          </cell>
          <cell r="H12">
            <v>43168</v>
          </cell>
        </row>
        <row r="13">
          <cell r="F13">
            <v>43218</v>
          </cell>
          <cell r="G13">
            <v>0</v>
          </cell>
          <cell r="H13">
            <v>0</v>
          </cell>
        </row>
        <row r="14">
          <cell r="F14">
            <v>0</v>
          </cell>
          <cell r="G14">
            <v>43221</v>
          </cell>
          <cell r="H14">
            <v>0</v>
          </cell>
        </row>
        <row r="15">
          <cell r="F15">
            <v>0</v>
          </cell>
          <cell r="G15">
            <v>0</v>
          </cell>
          <cell r="H15">
            <v>43222</v>
          </cell>
        </row>
        <row r="16">
          <cell r="F16">
            <v>43228</v>
          </cell>
          <cell r="G16">
            <v>43229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43262</v>
          </cell>
        </row>
        <row r="18">
          <cell r="F18">
            <v>43260</v>
          </cell>
          <cell r="G18">
            <v>43263</v>
          </cell>
          <cell r="H18">
            <v>0</v>
          </cell>
        </row>
        <row r="19">
          <cell r="F19">
            <v>0</v>
          </cell>
          <cell r="G19">
            <v>43408</v>
          </cell>
          <cell r="H19">
            <v>43409</v>
          </cell>
        </row>
        <row r="20">
          <cell r="F20">
            <v>43463</v>
          </cell>
          <cell r="G20">
            <v>0</v>
          </cell>
          <cell r="H20">
            <v>43465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N63"/>
  <sheetViews>
    <sheetView showZeros="0" tabSelected="1" zoomScale="70" zoomScaleNormal="70" zoomScaleSheetLayoutView="66" workbookViewId="0">
      <selection activeCell="B10" sqref="B10"/>
    </sheetView>
  </sheetViews>
  <sheetFormatPr defaultColWidth="9.140625" defaultRowHeight="15" x14ac:dyDescent="0.25"/>
  <cols>
    <col min="1" max="1" width="9" style="1" customWidth="1"/>
    <col min="2" max="2" width="22.7109375" style="1" customWidth="1"/>
    <col min="3" max="3" width="11.42578125" style="56" customWidth="1"/>
    <col min="4" max="34" width="5.7109375" style="1" customWidth="1"/>
    <col min="35" max="35" width="7.7109375" style="1" customWidth="1"/>
    <col min="36" max="36" width="8.5703125" style="1" customWidth="1"/>
    <col min="37" max="39" width="7.7109375" style="1" customWidth="1"/>
    <col min="40" max="40" width="7.7109375" customWidth="1"/>
    <col min="41" max="53" width="3.28515625" style="1" customWidth="1"/>
    <col min="54" max="16384" width="9.140625" style="1"/>
  </cols>
  <sheetData>
    <row r="1" spans="1:40" ht="24.95" customHeight="1" x14ac:dyDescent="0.3">
      <c r="A1" s="91" t="s">
        <v>38</v>
      </c>
      <c r="B1" s="91"/>
      <c r="C1" s="55" t="str">
        <f>TEXT(DATE(C2,C3,1),"МММ")&amp;" ("&amp;TEXT(DATE(C2,C3,1),"ММ")&amp;")"</f>
        <v>янв (01)</v>
      </c>
      <c r="D1" s="89" t="str">
        <f>TEXT(DATE(C2,C3+1,1),"МММ")&amp;" ("&amp;TEXT(DATE(C2,C3+1,1),"ММ")&amp;")"</f>
        <v>фев (02)</v>
      </c>
      <c r="E1" s="89"/>
      <c r="F1" s="89" t="str">
        <f>TEXT(DATE(C2,C3+2,1),"МММ")&amp;" ("&amp;TEXT(DATE(C2,C3+2,1),"ММ")&amp;")"</f>
        <v>мар (03)</v>
      </c>
      <c r="G1" s="8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6"/>
      <c r="AD1" s="3"/>
      <c r="AE1" s="3"/>
      <c r="AF1" s="3"/>
      <c r="AG1" s="3"/>
      <c r="AH1" s="3"/>
      <c r="AI1" s="3"/>
      <c r="AJ1" s="3"/>
      <c r="AK1" s="3"/>
      <c r="AL1" s="3"/>
    </row>
    <row r="2" spans="1:40" ht="24.95" customHeight="1" x14ac:dyDescent="0.25">
      <c r="A2" s="92" t="s">
        <v>39</v>
      </c>
      <c r="B2" s="92"/>
      <c r="C2" s="90">
        <v>2020</v>
      </c>
      <c r="D2" s="90"/>
      <c r="E2" s="90"/>
      <c r="F2" s="90"/>
      <c r="G2" s="90"/>
      <c r="H2" s="3"/>
      <c r="I2" s="3"/>
      <c r="J2" s="3"/>
      <c r="K2" s="3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3"/>
      <c r="AA2" s="3"/>
      <c r="AB2" s="3"/>
      <c r="AC2" s="5"/>
      <c r="AD2" s="3"/>
      <c r="AE2" s="3"/>
      <c r="AF2" s="3"/>
      <c r="AG2" s="3"/>
      <c r="AH2" s="3"/>
      <c r="AI2" s="3"/>
      <c r="AJ2" s="3"/>
      <c r="AK2" s="3"/>
      <c r="AL2" s="3"/>
    </row>
    <row r="3" spans="1:40" ht="24.95" customHeight="1" x14ac:dyDescent="0.25">
      <c r="A3" s="91" t="s">
        <v>40</v>
      </c>
      <c r="B3" s="91"/>
      <c r="C3" s="90">
        <v>1</v>
      </c>
      <c r="D3" s="90"/>
      <c r="E3" s="90"/>
      <c r="F3" s="90"/>
      <c r="G3" s="90"/>
      <c r="H3" s="3"/>
      <c r="I3" s="3"/>
      <c r="J3" s="3"/>
      <c r="K3" s="3"/>
      <c r="L3" s="3"/>
      <c r="M3" s="3"/>
      <c r="N3" s="3"/>
      <c r="O3" s="5"/>
      <c r="P3" s="3"/>
      <c r="Q3" s="3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0" ht="25.15" customHeight="1" x14ac:dyDescent="0.3">
      <c r="A4" s="87" t="s">
        <v>41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</row>
    <row r="5" spans="1:40" ht="25.15" customHeight="1" x14ac:dyDescent="0.3">
      <c r="A5" s="22"/>
      <c r="B5" s="23"/>
      <c r="D5" s="24"/>
      <c r="E5" s="24"/>
      <c r="F5" s="24"/>
      <c r="G5" s="25"/>
      <c r="H5" s="25"/>
      <c r="I5" s="25"/>
      <c r="J5" s="25"/>
      <c r="K5" s="25"/>
      <c r="L5" s="25"/>
      <c r="M5" s="84" t="s">
        <v>43</v>
      </c>
      <c r="N5" s="84"/>
      <c r="O5" s="84"/>
      <c r="P5" s="84"/>
      <c r="Q5" s="84"/>
      <c r="R5" s="84"/>
      <c r="S5" s="84"/>
      <c r="T5" s="85">
        <f>DATE(C2,C3,1)</f>
        <v>43831</v>
      </c>
      <c r="U5" s="85"/>
      <c r="V5" s="85"/>
      <c r="W5" s="86">
        <v>2020</v>
      </c>
      <c r="X5" s="86"/>
      <c r="Y5" s="25" t="s">
        <v>1</v>
      </c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4"/>
      <c r="AK5" s="24"/>
      <c r="AL5" s="24"/>
      <c r="AM5" s="22"/>
    </row>
    <row r="6" spans="1:40" ht="25.15" customHeight="1" x14ac:dyDescent="0.25">
      <c r="B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</row>
    <row r="7" spans="1:40" ht="50.1" customHeight="1" x14ac:dyDescent="0.2">
      <c r="A7" s="28" t="s">
        <v>2</v>
      </c>
      <c r="B7" s="27" t="s">
        <v>3</v>
      </c>
      <c r="C7" s="57" t="s">
        <v>54</v>
      </c>
      <c r="D7" s="9">
        <f>T5</f>
        <v>43831</v>
      </c>
      <c r="E7" s="9">
        <f>D7+1</f>
        <v>43832</v>
      </c>
      <c r="F7" s="9">
        <f t="shared" ref="F7" si="0">E7+1</f>
        <v>43833</v>
      </c>
      <c r="G7" s="9">
        <f t="shared" ref="G7" si="1">F7+1</f>
        <v>43834</v>
      </c>
      <c r="H7" s="9">
        <f t="shared" ref="H7" si="2">G7+1</f>
        <v>43835</v>
      </c>
      <c r="I7" s="9">
        <f t="shared" ref="I7" si="3">H7+1</f>
        <v>43836</v>
      </c>
      <c r="J7" s="9">
        <f t="shared" ref="J7" si="4">I7+1</f>
        <v>43837</v>
      </c>
      <c r="K7" s="9">
        <f t="shared" ref="K7" si="5">J7+1</f>
        <v>43838</v>
      </c>
      <c r="L7" s="9">
        <f t="shared" ref="L7" si="6">K7+1</f>
        <v>43839</v>
      </c>
      <c r="M7" s="9">
        <f t="shared" ref="M7" si="7">L7+1</f>
        <v>43840</v>
      </c>
      <c r="N7" s="9">
        <f t="shared" ref="N7" si="8">M7+1</f>
        <v>43841</v>
      </c>
      <c r="O7" s="9">
        <f t="shared" ref="O7" si="9">N7+1</f>
        <v>43842</v>
      </c>
      <c r="P7" s="9">
        <f t="shared" ref="P7" si="10">O7+1</f>
        <v>43843</v>
      </c>
      <c r="Q7" s="9">
        <f t="shared" ref="Q7" si="11">P7+1</f>
        <v>43844</v>
      </c>
      <c r="R7" s="9">
        <f t="shared" ref="R7" si="12">Q7+1</f>
        <v>43845</v>
      </c>
      <c r="S7" s="9">
        <f t="shared" ref="S7" si="13">R7+1</f>
        <v>43846</v>
      </c>
      <c r="T7" s="9">
        <f t="shared" ref="T7" si="14">S7+1</f>
        <v>43847</v>
      </c>
      <c r="U7" s="9">
        <f t="shared" ref="U7" si="15">T7+1</f>
        <v>43848</v>
      </c>
      <c r="V7" s="9">
        <f t="shared" ref="V7" si="16">U7+1</f>
        <v>43849</v>
      </c>
      <c r="W7" s="9">
        <f t="shared" ref="W7" si="17">V7+1</f>
        <v>43850</v>
      </c>
      <c r="X7" s="9">
        <f t="shared" ref="X7" si="18">W7+1</f>
        <v>43851</v>
      </c>
      <c r="Y7" s="9">
        <f t="shared" ref="Y7" si="19">X7+1</f>
        <v>43852</v>
      </c>
      <c r="Z7" s="9">
        <f t="shared" ref="Z7" si="20">Y7+1</f>
        <v>43853</v>
      </c>
      <c r="AA7" s="9">
        <f t="shared" ref="AA7" si="21">Z7+1</f>
        <v>43854</v>
      </c>
      <c r="AB7" s="9">
        <f t="shared" ref="AB7" si="22">AA7+1</f>
        <v>43855</v>
      </c>
      <c r="AC7" s="9">
        <f t="shared" ref="AC7" si="23">AB7+1</f>
        <v>43856</v>
      </c>
      <c r="AD7" s="9">
        <f t="shared" ref="AD7" si="24">AC7+1</f>
        <v>43857</v>
      </c>
      <c r="AE7" s="9">
        <f t="shared" ref="AE7" si="25">AD7+1</f>
        <v>43858</v>
      </c>
      <c r="AF7" s="19">
        <f>IF(MONTH(AE7+1)&lt;&gt;MONTH($D7),"х",AE7+1)</f>
        <v>43859</v>
      </c>
      <c r="AG7" s="19">
        <f>IF(MONTH(AE7+2)&lt;&gt;MONTH($D7),"х",AE7+2)</f>
        <v>43860</v>
      </c>
      <c r="AH7" s="19">
        <f>IF(MONTH(AE7+3)&lt;&gt;MONTH($D7),"х",AE7+3)</f>
        <v>43861</v>
      </c>
      <c r="AI7" s="79" t="s">
        <v>48</v>
      </c>
      <c r="AJ7" s="80" t="s">
        <v>49</v>
      </c>
      <c r="AK7" s="81" t="s">
        <v>50</v>
      </c>
      <c r="AL7" s="81" t="s">
        <v>51</v>
      </c>
      <c r="AM7" s="82" t="s">
        <v>52</v>
      </c>
      <c r="AN7" s="83" t="s">
        <v>53</v>
      </c>
    </row>
    <row r="8" spans="1:40" s="10" customFormat="1" ht="30" customHeight="1" x14ac:dyDescent="0.2">
      <c r="A8" s="11">
        <f>Параметры!A26</f>
        <v>1902910</v>
      </c>
      <c r="B8" s="12" t="s">
        <v>58</v>
      </c>
      <c r="C8" s="54" t="str">
        <f>Параметры!C26</f>
        <v>начальник участка</v>
      </c>
      <c r="D8" s="13">
        <v>12</v>
      </c>
      <c r="E8" s="13">
        <v>4</v>
      </c>
      <c r="F8" s="13" t="s">
        <v>57</v>
      </c>
      <c r="G8" s="13" t="s">
        <v>57</v>
      </c>
      <c r="H8" s="13" t="str">
        <f>IF($B8=0,0,IF(H$7="х","х",IF(AND(H$7&gt;=Параметры!$D26,H$7&lt;=Параметры!$F26),"О",IF(ISNUMBER(MATCH(H$7,Параметры!$F$4:$F$22,)),"П",IF((WEEKDAY(H$7,2)&gt;5)+ISNUMBER(MATCH(H$7,Параметры!$G$4:$G$22,))-ISNUMBER(MATCH(H$7,Параметры!$H$4:$H$22,)),"Ов",)))))</f>
        <v>П</v>
      </c>
      <c r="I8" s="13" t="str">
        <f>IF($B8=0,0,IF(I$7="х","х",IF(AND(I$7&gt;=Параметры!$D26,I$7&lt;=Параметры!$F26),"О",IF(ISNUMBER(MATCH(I$7,Параметры!$F$4:$F$22,)),"П",IF((WEEKDAY(I$7,2)&gt;5)+ISNUMBER(MATCH(I$7,Параметры!$G$4:$G$22,))-ISNUMBER(MATCH(I$7,Параметры!$H$4:$H$22,)),"Ов",)))))</f>
        <v>П</v>
      </c>
      <c r="J8" s="13" t="str">
        <f>IF($B8=0,0,IF(J$7="х","х",IF(AND(J$7&gt;=Параметры!$D26,J$7&lt;=Параметры!$F26),"О",IF(ISNUMBER(MATCH(J$7,Параметры!$F$4:$F$22,)),"П",IF((WEEKDAY(J$7,2)&gt;5)+ISNUMBER(MATCH(J$7,Параметры!$G$4:$G$22,))-ISNUMBER(MATCH(J$7,Параметры!$H$4:$H$22,)),"Ов",)))))</f>
        <v>П</v>
      </c>
      <c r="K8" s="13" t="str">
        <f>IF($B8=0,0,IF(K$7="х","х",IF(AND(K$7&gt;=Параметры!$D26,K$7&lt;=Параметры!$F26),"О",IF(ISNUMBER(MATCH(K$7,Параметры!$F$4:$F$22,)),"П",IF((WEEKDAY(K$7,2)&gt;5)+ISNUMBER(MATCH(K$7,Параметры!$G$4:$G$22,))-ISNUMBER(MATCH(K$7,Параметры!$H$4:$H$22,)),"Ов",)))))</f>
        <v>П</v>
      </c>
      <c r="L8" s="13">
        <f>IF($B8=0,0,IF(L$7="х","х",IF(AND(L$7&gt;=Параметры!$D26,L$7&lt;=Параметры!$F26),"О",IF(ISNUMBER(MATCH(L$7,Параметры!$F$4:$F$22,)),"П",IF((WEEKDAY(L$7,2)&gt;5)+ISNUMBER(MATCH(L$7,Параметры!$G$4:$G$22,))-ISNUMBER(MATCH(L$7,Параметры!$H$4:$H$22,)),"Ов",)))))</f>
        <v>0</v>
      </c>
      <c r="M8" s="13">
        <f>IF($B8=0,0,IF(M$7="х","х",IF(AND(M$7&gt;=Параметры!$D26,M$7&lt;=Параметры!$F26),"О",IF(ISNUMBER(MATCH(M$7,Параметры!$F$4:$F$22,)),"П",IF((WEEKDAY(M$7,2)&gt;5)+ISNUMBER(MATCH(M$7,Параметры!$G$4:$G$22,))-ISNUMBER(MATCH(M$7,Параметры!$H$4:$H$22,)),"Ов",)))))</f>
        <v>0</v>
      </c>
      <c r="N8" s="13" t="str">
        <f>IF($B8=0,0,IF(N$7="х","х",IF(AND(N$7&gt;=Параметры!$D26,N$7&lt;=Параметры!$F26),"О",IF(ISNUMBER(MATCH(N$7,Параметры!$F$4:$F$22,)),"П",IF((WEEKDAY(N$7,2)&gt;5)+ISNUMBER(MATCH(N$7,Параметры!$G$4:$G$22,))-ISNUMBER(MATCH(N$7,Параметры!$H$4:$H$22,)),"Ов",)))))</f>
        <v>Ов</v>
      </c>
      <c r="O8" s="13" t="str">
        <f>IF($B8=0,0,IF(O$7="х","х",IF(AND(O$7&gt;=Параметры!$D26,O$7&lt;=Параметры!$F26),"О",IF(ISNUMBER(MATCH(O$7,Параметры!$F$4:$F$22,)),"П",IF((WEEKDAY(O$7,2)&gt;5)+ISNUMBER(MATCH(O$7,Параметры!$G$4:$G$22,))-ISNUMBER(MATCH(O$7,Параметры!$H$4:$H$22,)),"Ов",)))))</f>
        <v>Ов</v>
      </c>
      <c r="P8" s="13">
        <f>IF($B8=0,0,IF(P$7="х","х",IF(AND(P$7&gt;=Параметры!$D26,P$7&lt;=Параметры!$F26),"О",IF(ISNUMBER(MATCH(P$7,Параметры!$F$4:$F$22,)),"П",IF((WEEKDAY(P$7,2)&gt;5)+ISNUMBER(MATCH(P$7,Параметры!$G$4:$G$22,))-ISNUMBER(MATCH(P$7,Параметры!$H$4:$H$22,)),"Ов",)))))</f>
        <v>0</v>
      </c>
      <c r="Q8" s="13">
        <f>IF($B8=0,0,IF(Q$7="х","х",IF(AND(Q$7&gt;=Параметры!$D26,Q$7&lt;=Параметры!$F26),"О",IF(ISNUMBER(MATCH(Q$7,Параметры!$F$4:$F$22,)),"П",IF((WEEKDAY(Q$7,2)&gt;5)+ISNUMBER(MATCH(Q$7,Параметры!$G$4:$G$22,))-ISNUMBER(MATCH(Q$7,Параметры!$H$4:$H$22,)),"Ов",)))))</f>
        <v>0</v>
      </c>
      <c r="R8" s="13" t="str">
        <f>IF($B8=0,0,IF(R$7="х","х",IF(AND(R$7&gt;=Параметры!$D26,R$7&lt;=Параметры!$F26),"О",IF(ISNUMBER(MATCH(R$7,Параметры!$F$4:$F$22,)),"П",IF((WEEKDAY(R$7,2)&gt;5)+ISNUMBER(MATCH(R$7,Параметры!$G$4:$G$22,))-ISNUMBER(MATCH(R$7,Параметры!$H$4:$H$22,)),"Ов",)))))</f>
        <v>О</v>
      </c>
      <c r="S8" s="13" t="str">
        <f>IF($B8=0,0,IF(S$7="х","х",IF(AND(S$7&gt;=Параметры!$D26,S$7&lt;=Параметры!$F26),"О",IF(ISNUMBER(MATCH(S$7,Параметры!$F$4:$F$22,)),"П",IF((WEEKDAY(S$7,2)&gt;5)+ISNUMBER(MATCH(S$7,Параметры!$G$4:$G$22,))-ISNUMBER(MATCH(S$7,Параметры!$H$4:$H$22,)),"Ов",)))))</f>
        <v>О</v>
      </c>
      <c r="T8" s="13" t="str">
        <f>IF($B8=0,0,IF(T$7="х","х",IF(AND(T$7&gt;=Параметры!$D26,T$7&lt;=Параметры!$F26),"О",IF(ISNUMBER(MATCH(T$7,Параметры!$F$4:$F$22,)),"П",IF((WEEKDAY(T$7,2)&gt;5)+ISNUMBER(MATCH(T$7,Параметры!$G$4:$G$22,))-ISNUMBER(MATCH(T$7,Параметры!$H$4:$H$22,)),"Ов",)))))</f>
        <v>О</v>
      </c>
      <c r="U8" s="13" t="str">
        <f>IF($B8=0,0,IF(U$7="х","х",IF(AND(U$7&gt;=Параметры!$D26,U$7&lt;=Параметры!$F26),"О",IF(ISNUMBER(MATCH(U$7,Параметры!$F$4:$F$22,)),"П",IF((WEEKDAY(U$7,2)&gt;5)+ISNUMBER(MATCH(U$7,Параметры!$G$4:$G$22,))-ISNUMBER(MATCH(U$7,Параметры!$H$4:$H$22,)),"Ов",)))))</f>
        <v>О</v>
      </c>
      <c r="V8" s="13" t="str">
        <f>IF($B8=0,0,IF(V$7="х","х",IF(AND(V$7&gt;=Параметры!$D26,V$7&lt;=Параметры!$F26),"О",IF(ISNUMBER(MATCH(V$7,Параметры!$F$4:$F$22,)),"П",IF((WEEKDAY(V$7,2)&gt;5)+ISNUMBER(MATCH(V$7,Параметры!$G$4:$G$22,))-ISNUMBER(MATCH(V$7,Параметры!$H$4:$H$22,)),"Ов",)))))</f>
        <v>О</v>
      </c>
      <c r="W8" s="13" t="str">
        <f>IF($B8=0,0,IF(W$7="х","х",IF(AND(W$7&gt;=Параметры!$D26,W$7&lt;=Параметры!$F26),"О",IF(ISNUMBER(MATCH(W$7,Параметры!$F$4:$F$22,)),"П",IF((WEEKDAY(W$7,2)&gt;5)+ISNUMBER(MATCH(W$7,Параметры!$G$4:$G$22,))-ISNUMBER(MATCH(W$7,Параметры!$H$4:$H$22,)),"Ов",)))))</f>
        <v>О</v>
      </c>
      <c r="X8" s="13" t="str">
        <f>IF($B8=0,0,IF(X$7="х","х",IF(AND(X$7&gt;=Параметры!$D26,X$7&lt;=Параметры!$F26),"О",IF(ISNUMBER(MATCH(X$7,Параметры!$F$4:$F$22,)),"П",IF((WEEKDAY(X$7,2)&gt;5)+ISNUMBER(MATCH(X$7,Параметры!$G$4:$G$22,))-ISNUMBER(MATCH(X$7,Параметры!$H$4:$H$22,)),"Ов",)))))</f>
        <v>О</v>
      </c>
      <c r="Y8" s="13" t="str">
        <f>IF($B8=0,0,IF(Y$7="х","х",IF(AND(Y$7&gt;=Параметры!$D26,Y$7&lt;=Параметры!$F26),"О",IF(ISNUMBER(MATCH(Y$7,Параметры!$F$4:$F$22,)),"П",IF((WEEKDAY(Y$7,2)&gt;5)+ISNUMBER(MATCH(Y$7,Параметры!$G$4:$G$22,))-ISNUMBER(MATCH(Y$7,Параметры!$H$4:$H$22,)),"Ов",)))))</f>
        <v>О</v>
      </c>
      <c r="Z8" s="13" t="str">
        <f>IF($B8=0,0,IF(Z$7="х","х",IF(AND(Z$7&gt;=Параметры!$D26,Z$7&lt;=Параметры!$F26),"О",IF(ISNUMBER(MATCH(Z$7,Параметры!$F$4:$F$22,)),"П",IF((WEEKDAY(Z$7,2)&gt;5)+ISNUMBER(MATCH(Z$7,Параметры!$G$4:$G$22,))-ISNUMBER(MATCH(Z$7,Параметры!$H$4:$H$22,)),"Ов",)))))</f>
        <v>О</v>
      </c>
      <c r="AA8" s="13" t="str">
        <f>IF($B8=0,0,IF(AA$7="х","х",IF(AND(AA$7&gt;=Параметры!$D26,AA$7&lt;=Параметры!$F26),"О",IF(ISNUMBER(MATCH(AA$7,Параметры!$F$4:$F$22,)),"П",IF((WEEKDAY(AA$7,2)&gt;5)+ISNUMBER(MATCH(AA$7,Параметры!$G$4:$G$22,))-ISNUMBER(MATCH(AA$7,Параметры!$H$4:$H$22,)),"Ов",)))))</f>
        <v>О</v>
      </c>
      <c r="AB8" s="13" t="str">
        <f>IF($B8=0,0,IF(AB$7="х","х",IF(AND(AB$7&gt;=Параметры!$D26,AB$7&lt;=Параметры!$F26),"О",IF(ISNUMBER(MATCH(AB$7,Параметры!$F$4:$F$22,)),"П",IF((WEEKDAY(AB$7,2)&gt;5)+ISNUMBER(MATCH(AB$7,Параметры!$G$4:$G$22,))-ISNUMBER(MATCH(AB$7,Параметры!$H$4:$H$22,)),"Ов",)))))</f>
        <v>О</v>
      </c>
      <c r="AC8" s="13" t="str">
        <f>IF($B8=0,0,IF(AC$7="х","х",IF(AND(AC$7&gt;=Параметры!$D26,AC$7&lt;=Параметры!$F26),"О",IF(ISNUMBER(MATCH(AC$7,Параметры!$F$4:$F$22,)),"П",IF((WEEKDAY(AC$7,2)&gt;5)+ISNUMBER(MATCH(AC$7,Параметры!$G$4:$G$22,))-ISNUMBER(MATCH(AC$7,Параметры!$H$4:$H$22,)),"Ов",)))))</f>
        <v>О</v>
      </c>
      <c r="AD8" s="13" t="str">
        <f>IF($B8=0,0,IF(AD$7="х","х",IF(AND(AD$7&gt;=Параметры!$D26,AD$7&lt;=Параметры!$F26),"О",IF(ISNUMBER(MATCH(AD$7,Параметры!$F$4:$F$22,)),"П",IF((WEEKDAY(AD$7,2)&gt;5)+ISNUMBER(MATCH(AD$7,Параметры!$G$4:$G$22,))-ISNUMBER(MATCH(AD$7,Параметры!$H$4:$H$22,)),"Ов",)))))</f>
        <v>О</v>
      </c>
      <c r="AE8" s="13" t="str">
        <f>IF($B8=0,0,IF(AE$7="х","х",IF(AND(AE$7&gt;=Параметры!$D26,AE$7&lt;=Параметры!$F26),"О",IF(ISNUMBER(MATCH(AE$7,Параметры!$F$4:$F$22,)),"П",IF((WEEKDAY(AE$7,2)&gt;5)+ISNUMBER(MATCH(AE$7,Параметры!$G$4:$G$22,))-ISNUMBER(MATCH(AE$7,Параметры!$H$4:$H$22,)),"Ов",)))))</f>
        <v>О</v>
      </c>
      <c r="AF8" s="13" t="str">
        <f>IF($B8=0,0,IF(AF$7="х","х",IF(AND(AF$7&gt;=Параметры!$D26,AF$7&lt;=Параметры!$F26),"О",IF(ISNUMBER(MATCH(AF$7,Параметры!$F$4:$F$22,)),"П",IF((WEEKDAY(AF$7,2)&gt;5)+ISNUMBER(MATCH(AF$7,Параметры!$G$4:$G$22,))-ISNUMBER(MATCH(AF$7,Параметры!$H$4:$H$22,)),"Ов",)))))</f>
        <v>О</v>
      </c>
      <c r="AG8" s="13" t="str">
        <f>IF($B8=0,0,IF(AG$7="х","х",IF(AND(AG$7&gt;=Параметры!$D26,AG$7&lt;=Параметры!$F26),"О",IF(ISNUMBER(MATCH(AG$7,Параметры!$F$4:$F$22,)),"П",IF((WEEKDAY(AG$7,2)&gt;5)+ISNUMBER(MATCH(AG$7,Параметры!$G$4:$G$22,))-ISNUMBER(MATCH(AG$7,Параметры!$H$4:$H$22,)),"Ов",)))))</f>
        <v>О</v>
      </c>
      <c r="AH8" s="13" t="str">
        <f>IF($B8=0,0,IF(AH$7="х","х",IF(AND(AH$7&gt;=Параметры!$D26,AH$7&lt;=Параметры!$F26),"О",IF(ISNUMBER(MATCH(AH$7,Параметры!$F$4:$F$22,)),"П",IF((WEEKDAY(AH$7,2)&gt;5)+ISNUMBER(MATCH(AH$7,Параметры!$G$4:$G$22,))-ISNUMBER(MATCH(AH$7,Параметры!$H$4:$H$22,)),"Ов",)))))</f>
        <v>О</v>
      </c>
      <c r="AI8" s="14">
        <f>AN8-AJ8</f>
        <v>97</v>
      </c>
      <c r="AJ8" s="14">
        <f>SUMPRODUCT(--TEXT(SUBSTITUTE(SUBSTITUTE(D8:AH8,"7,5/4",11.5),"н",),"0,00;;\0;\0"))+COUNTIF(D8:AH8,"К")*8+COUNTIF(D8:AH8,"Кп")*7</f>
        <v>39</v>
      </c>
      <c r="AK8" s="58">
        <f>COUNTIF(D8:AH8,"4")*2+COUNTIF(D8:AH8,"7,5")*6+COUNTIF(D8:AH8,"7,5/4")*8</f>
        <v>18</v>
      </c>
      <c r="AL8" s="14">
        <f>SUMPRODUCT((D$7:AH$7=Параметры!F$3:F$21)*TEXT(SUBSTITUTE(D8:AH8,"н",),"0,00;;0;\0"))</f>
        <v>16</v>
      </c>
      <c r="AM8" s="52"/>
      <c r="AN8" s="14">
        <f>VLOOKUP(TEXT($T$5,"ММММ"),Параметры!A$3:J$14,9,0)</f>
        <v>136</v>
      </c>
    </row>
    <row r="9" spans="1:40" s="10" customFormat="1" ht="30" customHeight="1" x14ac:dyDescent="0.2">
      <c r="A9" s="11">
        <f>Параметры!A27</f>
        <v>1904068</v>
      </c>
      <c r="B9" s="12" t="s">
        <v>59</v>
      </c>
      <c r="C9" s="54" t="str">
        <f>Параметры!C27</f>
        <v>инженер</v>
      </c>
      <c r="D9" s="13" t="str">
        <f>IF($B9=0,0,IF(D$7="х","х",IF(AND(D$7&gt;=Параметры!$D27,D$7&lt;=Параметры!$F27),"О",IF(ISNUMBER(MATCH(D$7,Параметры!$F$4:$F$22,)),"П",IF((WEEKDAY(D$7,2)&gt;5)+ISNUMBER(MATCH(D$7,Параметры!$G$4:$G$22,))-ISNUMBER(MATCH(D$7,Параметры!$H$4:$H$22,)),"Ов",)))))</f>
        <v>П</v>
      </c>
      <c r="E9" s="13" t="str">
        <f>IF($B9=0,0,IF(E$7="х","х",IF(AND(E$7&gt;=Параметры!$D27,E$7&lt;=Параметры!$F27),"О",IF(ISNUMBER(MATCH(E$7,Параметры!$F$4:$F$22,)),"П",IF((WEEKDAY(E$7,2)&gt;5)+ISNUMBER(MATCH(E$7,Параметры!$G$4:$G$22,))-ISNUMBER(MATCH(E$7,Параметры!$H$4:$H$22,)),"Ов",)))))</f>
        <v>П</v>
      </c>
      <c r="F9" s="13" t="str">
        <f>IF($B9=0,0,IF(F$7="х","х",IF(AND(F$7&gt;=Параметры!$D27,F$7&lt;=Параметры!$F27),"О",IF(ISNUMBER(MATCH(F$7,Параметры!$F$4:$F$22,)),"П",IF((WEEKDAY(F$7,2)&gt;5)+ISNUMBER(MATCH(F$7,Параметры!$G$4:$G$22,))-ISNUMBER(MATCH(F$7,Параметры!$H$4:$H$22,)),"Ов",)))))</f>
        <v>П</v>
      </c>
      <c r="G9" s="13" t="str">
        <f>IF($B9=0,0,IF(G$7="х","х",IF(AND(G$7&gt;=Параметры!$D27,G$7&lt;=Параметры!$F27),"О",IF(ISNUMBER(MATCH(G$7,Параметры!$F$4:$F$22,)),"П",IF((WEEKDAY(G$7,2)&gt;5)+ISNUMBER(MATCH(G$7,Параметры!$G$4:$G$22,))-ISNUMBER(MATCH(G$7,Параметры!$H$4:$H$22,)),"Ов",)))))</f>
        <v>П</v>
      </c>
      <c r="H9" s="13" t="str">
        <f>IF($B9=0,0,IF(H$7="х","х",IF(AND(H$7&gt;=Параметры!$D27,H$7&lt;=Параметры!$F27),"О",IF(ISNUMBER(MATCH(H$7,Параметры!$F$4:$F$22,)),"П",IF((WEEKDAY(H$7,2)&gt;5)+ISNUMBER(MATCH(H$7,Параметры!$G$4:$G$22,))-ISNUMBER(MATCH(H$7,Параметры!$H$4:$H$22,)),"Ов",)))))</f>
        <v>П</v>
      </c>
      <c r="I9" s="13" t="str">
        <f>IF($B9=0,0,IF(I$7="х","х",IF(AND(I$7&gt;=Параметры!$D27,I$7&lt;=Параметры!$F27),"О",IF(ISNUMBER(MATCH(I$7,Параметры!$F$4:$F$22,)),"П",IF((WEEKDAY(I$7,2)&gt;5)+ISNUMBER(MATCH(I$7,Параметры!$G$4:$G$22,))-ISNUMBER(MATCH(I$7,Параметры!$H$4:$H$22,)),"Ов",)))))</f>
        <v>П</v>
      </c>
      <c r="J9" s="13" t="str">
        <f>IF($B9=0,0,IF(J$7="х","х",IF(AND(J$7&gt;=Параметры!$D27,J$7&lt;=Параметры!$F27),"О",IF(ISNUMBER(MATCH(J$7,Параметры!$F$4:$F$22,)),"П",IF((WEEKDAY(J$7,2)&gt;5)+ISNUMBER(MATCH(J$7,Параметры!$G$4:$G$22,))-ISNUMBER(MATCH(J$7,Параметры!$H$4:$H$22,)),"Ов",)))))</f>
        <v>П</v>
      </c>
      <c r="K9" s="13" t="str">
        <f>IF($B9=0,0,IF(K$7="х","х",IF(AND(K$7&gt;=Параметры!$D27,K$7&lt;=Параметры!$F27),"О",IF(ISNUMBER(MATCH(K$7,Параметры!$F$4:$F$22,)),"П",IF((WEEKDAY(K$7,2)&gt;5)+ISNUMBER(MATCH(K$7,Параметры!$G$4:$G$22,))-ISNUMBER(MATCH(K$7,Параметры!$H$4:$H$22,)),"Ов",)))))</f>
        <v>П</v>
      </c>
      <c r="L9" s="13">
        <f>IF($B9=0,0,IF(L$7="х","х",IF(AND(L$7&gt;=Параметры!$D27,L$7&lt;=Параметры!$F27),"О",IF(ISNUMBER(MATCH(L$7,Параметры!$F$4:$F$22,)),"П",IF((WEEKDAY(L$7,2)&gt;5)+ISNUMBER(MATCH(L$7,Параметры!$G$4:$G$22,))-ISNUMBER(MATCH(L$7,Параметры!$H$4:$H$22,)),"Ов",)))))</f>
        <v>0</v>
      </c>
      <c r="M9" s="13">
        <f>IF($B9=0,0,IF(M$7="х","х",IF(AND(M$7&gt;=Параметры!$D27,M$7&lt;=Параметры!$F27),"О",IF(ISNUMBER(MATCH(M$7,Параметры!$F$4:$F$22,)),"П",IF((WEEKDAY(M$7,2)&gt;5)+ISNUMBER(MATCH(M$7,Параметры!$G$4:$G$22,))-ISNUMBER(MATCH(M$7,Параметры!$H$4:$H$22,)),"Ов",)))))</f>
        <v>0</v>
      </c>
      <c r="N9" s="13" t="str">
        <f>IF($B9=0,0,IF(N$7="х","х",IF(AND(N$7&gt;=Параметры!$D27,N$7&lt;=Параметры!$F27),"О",IF(ISNUMBER(MATCH(N$7,Параметры!$F$4:$F$22,)),"П",IF((WEEKDAY(N$7,2)&gt;5)+ISNUMBER(MATCH(N$7,Параметры!$G$4:$G$22,))-ISNUMBER(MATCH(N$7,Параметры!$H$4:$H$22,)),"Ов",)))))</f>
        <v>Ов</v>
      </c>
      <c r="O9" s="13" t="str">
        <f>IF($B9=0,0,IF(O$7="х","х",IF(AND(O$7&gt;=Параметры!$D27,O$7&lt;=Параметры!$F27),"О",IF(ISNUMBER(MATCH(O$7,Параметры!$F$4:$F$22,)),"П",IF((WEEKDAY(O$7,2)&gt;5)+ISNUMBER(MATCH(O$7,Параметры!$G$4:$G$22,))-ISNUMBER(MATCH(O$7,Параметры!$H$4:$H$22,)),"Ов",)))))</f>
        <v>Ов</v>
      </c>
      <c r="P9" s="13">
        <f>IF($B9=0,0,IF(P$7="х","х",IF(AND(P$7&gt;=Параметры!$D27,P$7&lt;=Параметры!$F27),"О",IF(ISNUMBER(MATCH(P$7,Параметры!$F$4:$F$22,)),"П",IF((WEEKDAY(P$7,2)&gt;5)+ISNUMBER(MATCH(P$7,Параметры!$G$4:$G$22,))-ISNUMBER(MATCH(P$7,Параметры!$H$4:$H$22,)),"Ов",)))))</f>
        <v>0</v>
      </c>
      <c r="Q9" s="13">
        <f>IF($B9=0,0,IF(Q$7="х","х",IF(AND(Q$7&gt;=Параметры!$D27,Q$7&lt;=Параметры!$F27),"О",IF(ISNUMBER(MATCH(Q$7,Параметры!$F$4:$F$22,)),"П",IF((WEEKDAY(Q$7,2)&gt;5)+ISNUMBER(MATCH(Q$7,Параметры!$G$4:$G$22,))-ISNUMBER(MATCH(Q$7,Параметры!$H$4:$H$22,)),"Ов",)))))</f>
        <v>0</v>
      </c>
      <c r="R9" s="13">
        <f>IF($B9=0,0,IF(R$7="х","х",IF(AND(R$7&gt;=Параметры!$D27,R$7&lt;=Параметры!$F27),"О",IF(ISNUMBER(MATCH(R$7,Параметры!$F$4:$F$22,)),"П",IF((WEEKDAY(R$7,2)&gt;5)+ISNUMBER(MATCH(R$7,Параметры!$G$4:$G$22,))-ISNUMBER(MATCH(R$7,Параметры!$H$4:$H$22,)),"Ов",)))))</f>
        <v>0</v>
      </c>
      <c r="S9" s="13">
        <f>IF($B9=0,0,IF(S$7="х","х",IF(AND(S$7&gt;=Параметры!$D27,S$7&lt;=Параметры!$F27),"О",IF(ISNUMBER(MATCH(S$7,Параметры!$F$4:$F$22,)),"П",IF((WEEKDAY(S$7,2)&gt;5)+ISNUMBER(MATCH(S$7,Параметры!$G$4:$G$22,))-ISNUMBER(MATCH(S$7,Параметры!$H$4:$H$22,)),"Ов",)))))</f>
        <v>0</v>
      </c>
      <c r="T9" s="13">
        <f>IF($B9=0,0,IF(T$7="х","х",IF(AND(T$7&gt;=Параметры!$D27,T$7&lt;=Параметры!$F27),"О",IF(ISNUMBER(MATCH(T$7,Параметры!$F$4:$F$22,)),"П",IF((WEEKDAY(T$7,2)&gt;5)+ISNUMBER(MATCH(T$7,Параметры!$G$4:$G$22,))-ISNUMBER(MATCH(T$7,Параметры!$H$4:$H$22,)),"Ов",)))))</f>
        <v>0</v>
      </c>
      <c r="U9" s="13">
        <f>IF($B9=0,0,IF(U$7="х","х",IF(AND(U$7&gt;=Параметры!$D27,U$7&lt;=Параметры!$F27),"О",IF(ISNUMBER(MATCH(U$7,Параметры!$F$4:$F$22,)),"П",IF((WEEKDAY(U$7,2)&gt;5)+ISNUMBER(MATCH(U$7,Параметры!$G$4:$G$22,))-ISNUMBER(MATCH(U$7,Параметры!$H$4:$H$22,)),"Ов",)))))</f>
        <v>0</v>
      </c>
      <c r="V9" s="13" t="str">
        <f>IF($B9=0,0,IF(V$7="х","х",IF(AND(V$7&gt;=Параметры!$D27,V$7&lt;=Параметры!$F27),"О",IF(ISNUMBER(MATCH(V$7,Параметры!$F$4:$F$22,)),"П",IF((WEEKDAY(V$7,2)&gt;5)+ISNUMBER(MATCH(V$7,Параметры!$G$4:$G$22,))-ISNUMBER(MATCH(V$7,Параметры!$H$4:$H$22,)),"Ов",)))))</f>
        <v>Ов</v>
      </c>
      <c r="W9" s="13">
        <f>IF($B9=0,0,IF(W$7="х","х",IF(AND(W$7&gt;=Параметры!$D27,W$7&lt;=Параметры!$F27),"О",IF(ISNUMBER(MATCH(W$7,Параметры!$F$4:$F$22,)),"П",IF((WEEKDAY(W$7,2)&gt;5)+ISNUMBER(MATCH(W$7,Параметры!$G$4:$G$22,))-ISNUMBER(MATCH(W$7,Параметры!$H$4:$H$22,)),"Ов",)))))</f>
        <v>0</v>
      </c>
      <c r="X9" s="13">
        <f>IF($B9=0,0,IF(X$7="х","х",IF(AND(X$7&gt;=Параметры!$D27,X$7&lt;=Параметры!$F27),"О",IF(ISNUMBER(MATCH(X$7,Параметры!$F$4:$F$22,)),"П",IF((WEEKDAY(X$7,2)&gt;5)+ISNUMBER(MATCH(X$7,Параметры!$G$4:$G$22,))-ISNUMBER(MATCH(X$7,Параметры!$H$4:$H$22,)),"Ов",)))))</f>
        <v>0</v>
      </c>
      <c r="Y9" s="13" t="str">
        <f>IF($B9=0,0,IF(Y$7="х","х",IF(AND(Y$7&gt;=Параметры!$D27,Y$7&lt;=Параметры!$F27),"О",IF(ISNUMBER(MATCH(Y$7,Параметры!$F$4:$F$22,)),"П",IF((WEEKDAY(Y$7,2)&gt;5)+ISNUMBER(MATCH(Y$7,Параметры!$G$4:$G$22,))-ISNUMBER(MATCH(Y$7,Параметры!$H$4:$H$22,)),"Ов",)))))</f>
        <v>Ов</v>
      </c>
      <c r="Z9" s="13">
        <f>IF($B9=0,0,IF(Z$7="х","х",IF(AND(Z$7&gt;=Параметры!$D27,Z$7&lt;=Параметры!$F27),"О",IF(ISNUMBER(MATCH(Z$7,Параметры!$F$4:$F$22,)),"П",IF((WEEKDAY(Z$7,2)&gt;5)+ISNUMBER(MATCH(Z$7,Параметры!$G$4:$G$22,))-ISNUMBER(MATCH(Z$7,Параметры!$H$4:$H$22,)),"Ов",)))))</f>
        <v>0</v>
      </c>
      <c r="AA9" s="13">
        <f>IF($B9=0,0,IF(AA$7="х","х",IF(AND(AA$7&gt;=Параметры!$D27,AA$7&lt;=Параметры!$F27),"О",IF(ISNUMBER(MATCH(AA$7,Параметры!$F$4:$F$22,)),"П",IF((WEEKDAY(AA$7,2)&gt;5)+ISNUMBER(MATCH(AA$7,Параметры!$G$4:$G$22,))-ISNUMBER(MATCH(AA$7,Параметры!$H$4:$H$22,)),"Ов",)))))</f>
        <v>0</v>
      </c>
      <c r="AB9" s="13" t="str">
        <f>IF($B9=0,0,IF(AB$7="х","х",IF(AND(AB$7&gt;=Параметры!$D27,AB$7&lt;=Параметры!$F27),"О",IF(ISNUMBER(MATCH(AB$7,Параметры!$F$4:$F$22,)),"П",IF((WEEKDAY(AB$7,2)&gt;5)+ISNUMBER(MATCH(AB$7,Параметры!$G$4:$G$22,))-ISNUMBER(MATCH(AB$7,Параметры!$H$4:$H$22,)),"Ов",)))))</f>
        <v>Ов</v>
      </c>
      <c r="AC9" s="13" t="str">
        <f>IF($B9=0,0,IF(AC$7="х","х",IF(AND(AC$7&gt;=Параметры!$D27,AC$7&lt;=Параметры!$F27),"О",IF(ISNUMBER(MATCH(AC$7,Параметры!$F$4:$F$22,)),"П",IF((WEEKDAY(AC$7,2)&gt;5)+ISNUMBER(MATCH(AC$7,Параметры!$G$4:$G$22,))-ISNUMBER(MATCH(AC$7,Параметры!$H$4:$H$22,)),"Ов",)))))</f>
        <v>Ов</v>
      </c>
      <c r="AD9" s="13">
        <f>IF($B9=0,0,IF(AD$7="х","х",IF(AND(AD$7&gt;=Параметры!$D27,AD$7&lt;=Параметры!$F27),"О",IF(ISNUMBER(MATCH(AD$7,Параметры!$F$4:$F$22,)),"П",IF((WEEKDAY(AD$7,2)&gt;5)+ISNUMBER(MATCH(AD$7,Параметры!$G$4:$G$22,))-ISNUMBER(MATCH(AD$7,Параметры!$H$4:$H$22,)),"Ов",)))))</f>
        <v>0</v>
      </c>
      <c r="AE9" s="13">
        <f>IF($B9=0,0,IF(AE$7="х","х",IF(AND(AE$7&gt;=Параметры!$D27,AE$7&lt;=Параметры!$F27),"О",IF(ISNUMBER(MATCH(AE$7,Параметры!$F$4:$F$22,)),"П",IF((WEEKDAY(AE$7,2)&gt;5)+ISNUMBER(MATCH(AE$7,Параметры!$G$4:$G$22,))-ISNUMBER(MATCH(AE$7,Параметры!$H$4:$H$22,)),"Ов",)))))</f>
        <v>0</v>
      </c>
      <c r="AF9" s="13">
        <f>IF($B9=0,0,IF(AF$7="х","х",IF(AND(AF$7&gt;=Параметры!$D27,AF$7&lt;=Параметры!$F27),"О",IF(ISNUMBER(MATCH(AF$7,Параметры!$F$4:$F$22,)),"П",IF((WEEKDAY(AF$7,2)&gt;5)+ISNUMBER(MATCH(AF$7,Параметры!$G$4:$G$22,))-ISNUMBER(MATCH(AF$7,Параметры!$H$4:$H$22,)),"Ов",)))))</f>
        <v>0</v>
      </c>
      <c r="AG9" s="13">
        <f>IF($B9=0,0,IF(AG$7="х","х",IF(AND(AG$7&gt;=Параметры!$D27,AG$7&lt;=Параметры!$F27),"О",IF(ISNUMBER(MATCH(AG$7,Параметры!$F$4:$F$22,)),"П",IF((WEEKDAY(AG$7,2)&gt;5)+ISNUMBER(MATCH(AG$7,Параметры!$G$4:$G$22,))-ISNUMBER(MATCH(AG$7,Параметры!$H$4:$H$22,)),"Ов",)))))</f>
        <v>0</v>
      </c>
      <c r="AH9" s="13">
        <f>IF($B9=0,0,IF(AH$7="х","х",IF(AND(AH$7&gt;=Параметры!$D27,AH$7&lt;=Параметры!$F27),"О",IF(ISNUMBER(MATCH(AH$7,Параметры!$F$4:$F$22,)),"П",IF((WEEKDAY(AH$7,2)&gt;5)+ISNUMBER(MATCH(AH$7,Параметры!$G$4:$G$22,))-ISNUMBER(MATCH(AH$7,Параметры!$H$4:$H$22,)),"Ов",)))))</f>
        <v>0</v>
      </c>
      <c r="AI9" s="14">
        <f t="shared" ref="AI8:AI23" si="26">AN9-AJ9</f>
        <v>136</v>
      </c>
      <c r="AJ9" s="14">
        <f t="shared" ref="AJ9:AJ23" si="27">SUMPRODUCT(--TEXT(SUBSTITUTE(SUBSTITUTE(D9:AH9,"7,5/4",11.5),"н",),"0,00;;\0;\0"))+COUNTIF(D9:AH9,"К")*8+COUNTIF(D9:AH9,"Кп")*7</f>
        <v>0</v>
      </c>
      <c r="AK9" s="58">
        <f t="shared" ref="AK9:AK23" si="28">COUNTIF(D9:AH9,"4")*2+COUNTIF(D9:AH9,"7,5")*6+COUNTIF(D9:AH9,"7,5/4")*8</f>
        <v>0</v>
      </c>
      <c r="AL9" s="14">
        <f>SUMPRODUCT((D$7:AH$7=Параметры!F$3:F$21)*TEXT(SUBSTITUTE(D9:AH9,"н",),"0,00;;0;\0"))</f>
        <v>0</v>
      </c>
      <c r="AM9" s="52"/>
      <c r="AN9" s="14">
        <f>VLOOKUP(TEXT($T$5,"ММММ"),Параметры!A$3:J$14,9,0)</f>
        <v>136</v>
      </c>
    </row>
    <row r="10" spans="1:40" s="10" customFormat="1" ht="30" customHeight="1" x14ac:dyDescent="0.2">
      <c r="A10" s="11">
        <f>Параметры!A28</f>
        <v>1915436</v>
      </c>
      <c r="B10" s="12">
        <f>Параметры!B28</f>
        <v>0</v>
      </c>
      <c r="C10" s="54" t="str">
        <f>Параметры!C28</f>
        <v>электроме-ханик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4">
        <f t="shared" si="26"/>
        <v>136</v>
      </c>
      <c r="AJ10" s="14">
        <f t="shared" si="27"/>
        <v>0</v>
      </c>
      <c r="AK10" s="58">
        <f t="shared" si="28"/>
        <v>0</v>
      </c>
      <c r="AL10" s="14">
        <f>SUMPRODUCT((D$7:AH$7=Параметры!F$3:F$21)*TEXT(SUBSTITUTE(D10:AH10,"н",),"0,00;;0;\0"))</f>
        <v>0</v>
      </c>
      <c r="AM10" s="52"/>
      <c r="AN10" s="14">
        <f>VLOOKUP(TEXT($T$5,"ММММ"),Параметры!A$3:J$14,9,0)</f>
        <v>136</v>
      </c>
    </row>
    <row r="11" spans="1:40" s="10" customFormat="1" ht="30" customHeight="1" x14ac:dyDescent="0.2">
      <c r="A11" s="11">
        <f>Параметры!A29</f>
        <v>1912045</v>
      </c>
      <c r="B11" s="12">
        <f>Параметры!B29</f>
        <v>0</v>
      </c>
      <c r="C11" s="54" t="str">
        <f>Параметры!C29</f>
        <v>электроме-ханик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4">
        <f t="shared" si="26"/>
        <v>122.4</v>
      </c>
      <c r="AJ11" s="14">
        <f t="shared" si="27"/>
        <v>0</v>
      </c>
      <c r="AK11" s="58">
        <f t="shared" si="28"/>
        <v>0</v>
      </c>
      <c r="AL11" s="14">
        <f>SUMPRODUCT((D$7:AH$7=Параметры!F$3:F$21)*TEXT(SUBSTITUTE(D11:AH11,"н",),"0,00;;0;\0"))</f>
        <v>0</v>
      </c>
      <c r="AM11" s="52"/>
      <c r="AN11" s="14">
        <f>VLOOKUP(TEXT($T$5,"ММММ"),Параметры!A$3:J$14,10,0)</f>
        <v>122.4</v>
      </c>
    </row>
    <row r="12" spans="1:40" s="10" customFormat="1" ht="30" customHeight="1" x14ac:dyDescent="0.2">
      <c r="A12" s="11">
        <f>Параметры!A30</f>
        <v>1912103</v>
      </c>
      <c r="B12" s="12">
        <f>Параметры!B30</f>
        <v>0</v>
      </c>
      <c r="C12" s="54" t="str">
        <f>Параметры!C30</f>
        <v>электроме-ханик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>
        <f t="shared" si="26"/>
        <v>136</v>
      </c>
      <c r="AJ12" s="14">
        <f t="shared" si="27"/>
        <v>0</v>
      </c>
      <c r="AK12" s="58">
        <f t="shared" si="28"/>
        <v>0</v>
      </c>
      <c r="AL12" s="14">
        <f>SUMPRODUCT((D$7:AH$7=Параметры!F$3:F$21)*TEXT(SUBSTITUTE(D12:AH12,"н",),"0,00;;0;\0"))</f>
        <v>0</v>
      </c>
      <c r="AM12" s="52"/>
      <c r="AN12" s="14">
        <f>VLOOKUP(TEXT($T$5,"ММММ"),Параметры!A$3:J$14,9,0)</f>
        <v>136</v>
      </c>
    </row>
    <row r="13" spans="1:40" s="10" customFormat="1" ht="30" customHeight="1" x14ac:dyDescent="0.2">
      <c r="A13" s="11">
        <f>Параметры!A31</f>
        <v>1912622</v>
      </c>
      <c r="B13" s="12">
        <f>Параметры!B31</f>
        <v>0</v>
      </c>
      <c r="C13" s="54" t="str">
        <f>Параметры!C31</f>
        <v>электро-монтер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>
        <f t="shared" si="26"/>
        <v>136</v>
      </c>
      <c r="AJ13" s="14">
        <f t="shared" si="27"/>
        <v>0</v>
      </c>
      <c r="AK13" s="58">
        <f t="shared" si="28"/>
        <v>0</v>
      </c>
      <c r="AL13" s="14">
        <f>SUMPRODUCT((D$7:AH$7=Параметры!F$3:F$21)*TEXT(SUBSTITUTE(D13:AH13,"н",),"0,00;;0;\0"))</f>
        <v>0</v>
      </c>
      <c r="AM13" s="52"/>
      <c r="AN13" s="14">
        <f>VLOOKUP(TEXT($T$5,"ММММ"),Параметры!A$3:J$14,9,0)</f>
        <v>136</v>
      </c>
    </row>
    <row r="14" spans="1:40" s="10" customFormat="1" ht="30" customHeight="1" x14ac:dyDescent="0.2">
      <c r="A14" s="11">
        <f>Параметры!A32</f>
        <v>1912114</v>
      </c>
      <c r="B14" s="12">
        <f>Параметры!B32</f>
        <v>0</v>
      </c>
      <c r="C14" s="54" t="str">
        <f>Параметры!C32</f>
        <v>электро-монтер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>
        <f t="shared" si="26"/>
        <v>136</v>
      </c>
      <c r="AJ14" s="14">
        <f t="shared" si="27"/>
        <v>0</v>
      </c>
      <c r="AK14" s="58">
        <f t="shared" si="28"/>
        <v>0</v>
      </c>
      <c r="AL14" s="14">
        <f>SUMPRODUCT((D$7:AH$7=Параметры!F$3:F$21)*TEXT(SUBSTITUTE(D14:AH14,"н",),"0,00;;0;\0"))</f>
        <v>0</v>
      </c>
      <c r="AM14" s="52"/>
      <c r="AN14" s="14">
        <f>VLOOKUP(TEXT($T$5,"ММММ"),Параметры!A$3:J$14,9,0)</f>
        <v>136</v>
      </c>
    </row>
    <row r="15" spans="1:40" s="10" customFormat="1" ht="30" customHeight="1" x14ac:dyDescent="0.2">
      <c r="A15" s="11">
        <f>Параметры!A33</f>
        <v>1925206</v>
      </c>
      <c r="B15" s="12">
        <f>Параметры!B33</f>
        <v>0</v>
      </c>
      <c r="C15" s="54" t="str">
        <f>Параметры!C33</f>
        <v>телефонист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4">
        <f t="shared" si="26"/>
        <v>122.4</v>
      </c>
      <c r="AJ15" s="14">
        <f t="shared" si="27"/>
        <v>0</v>
      </c>
      <c r="AK15" s="58">
        <f t="shared" si="28"/>
        <v>0</v>
      </c>
      <c r="AL15" s="14">
        <f>SUMPRODUCT((D$7:AH$7=Параметры!F$3:F$21)*TEXT(SUBSTITUTE(D15:AH15,"н",),"0,00;;0;\0"))</f>
        <v>0</v>
      </c>
      <c r="AM15" s="52"/>
      <c r="AN15" s="14">
        <f>VLOOKUP(TEXT($T$5,"ММММ"),Параметры!A$3:J$14,10,0)</f>
        <v>122.4</v>
      </c>
    </row>
    <row r="16" spans="1:40" s="10" customFormat="1" ht="30" customHeight="1" x14ac:dyDescent="0.2">
      <c r="A16" s="11">
        <f>Параметры!A34</f>
        <v>1904059</v>
      </c>
      <c r="B16" s="12">
        <f>Параметры!B34</f>
        <v>0</v>
      </c>
      <c r="C16" s="54" t="str">
        <f>Параметры!C34</f>
        <v>инженер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>
        <f t="shared" si="26"/>
        <v>136</v>
      </c>
      <c r="AJ16" s="14">
        <f t="shared" si="27"/>
        <v>0</v>
      </c>
      <c r="AK16" s="58">
        <f t="shared" si="28"/>
        <v>0</v>
      </c>
      <c r="AL16" s="14">
        <f>SUMPRODUCT((D$7:AH$7=Параметры!F$3:F$21)*TEXT(SUBSTITUTE(D16:AH16,"н",),"0,00;;0;\0"))</f>
        <v>0</v>
      </c>
      <c r="AM16" s="52"/>
      <c r="AN16" s="14">
        <f>VLOOKUP(TEXT($T$5,"ММММ"),Параметры!A$3:J$14,9,0)</f>
        <v>136</v>
      </c>
    </row>
    <row r="17" spans="1:40" s="10" customFormat="1" ht="30" customHeight="1" x14ac:dyDescent="0.2">
      <c r="A17" s="11">
        <f>Параметры!A35</f>
        <v>1912510</v>
      </c>
      <c r="B17" s="12">
        <f>Параметры!B35</f>
        <v>0</v>
      </c>
      <c r="C17" s="54" t="str">
        <f>Параметры!C35</f>
        <v>электроме-ханик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4">
        <f t="shared" si="26"/>
        <v>122.4</v>
      </c>
      <c r="AJ17" s="14">
        <f t="shared" si="27"/>
        <v>0</v>
      </c>
      <c r="AK17" s="58">
        <f t="shared" si="28"/>
        <v>0</v>
      </c>
      <c r="AL17" s="14">
        <f>SUMPRODUCT((D$7:AH$7=Параметры!F$3:F$21)*TEXT(SUBSTITUTE(D17:AH17,"н",),"0,00;;0;\0"))</f>
        <v>0</v>
      </c>
      <c r="AM17" s="52"/>
      <c r="AN17" s="14">
        <f>VLOOKUP(TEXT($T$5,"ММММ"),Параметры!A$3:J$14,10,0)</f>
        <v>122.4</v>
      </c>
    </row>
    <row r="18" spans="1:40" s="10" customFormat="1" ht="30" customHeight="1" x14ac:dyDescent="0.2">
      <c r="A18" s="11">
        <f>Параметры!A36</f>
        <v>1912130</v>
      </c>
      <c r="B18" s="12">
        <f>Параметры!B36</f>
        <v>0</v>
      </c>
      <c r="C18" s="54" t="str">
        <f>Параметры!C36</f>
        <v>электроме-ханик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4">
        <f t="shared" si="26"/>
        <v>136</v>
      </c>
      <c r="AJ18" s="14">
        <f t="shared" si="27"/>
        <v>0</v>
      </c>
      <c r="AK18" s="58">
        <f t="shared" si="28"/>
        <v>0</v>
      </c>
      <c r="AL18" s="14">
        <f>SUMPRODUCT((D$7:AH$7=Параметры!F$3:F$21)*TEXT(SUBSTITUTE(D18:AH18,"н",),"0,00;;0;\0"))</f>
        <v>0</v>
      </c>
      <c r="AM18" s="52"/>
      <c r="AN18" s="14">
        <f>VLOOKUP(TEXT($T$5,"ММММ"),Параметры!A$3:J$14,9,0)</f>
        <v>136</v>
      </c>
    </row>
    <row r="19" spans="1:40" s="10" customFormat="1" ht="30" customHeight="1" x14ac:dyDescent="0.2">
      <c r="A19" s="11">
        <f>Параметры!A37</f>
        <v>1915704</v>
      </c>
      <c r="B19" s="12">
        <f>Параметры!B37</f>
        <v>0</v>
      </c>
      <c r="C19" s="54" t="str">
        <f>Параметры!C37</f>
        <v>электроме-ханик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4">
        <f t="shared" si="26"/>
        <v>136</v>
      </c>
      <c r="AJ19" s="14">
        <f t="shared" si="27"/>
        <v>0</v>
      </c>
      <c r="AK19" s="58">
        <f t="shared" si="28"/>
        <v>0</v>
      </c>
      <c r="AL19" s="14">
        <f>SUMPRODUCT((D$7:AH$7=Параметры!F$3:F$21)*TEXT(SUBSTITUTE(D19:AH19,"н",),"0,00;;0;\0"))</f>
        <v>0</v>
      </c>
      <c r="AM19" s="52"/>
      <c r="AN19" s="14">
        <f>VLOOKUP(TEXT($T$5,"ММММ"),Параметры!A$3:J$14,9,0)</f>
        <v>136</v>
      </c>
    </row>
    <row r="20" spans="1:40" s="10" customFormat="1" ht="30" customHeight="1" x14ac:dyDescent="0.2">
      <c r="A20" s="11">
        <f>Параметры!A38</f>
        <v>1912044</v>
      </c>
      <c r="B20" s="12">
        <f>Параметры!B38</f>
        <v>0</v>
      </c>
      <c r="C20" s="54" t="str">
        <f>Параметры!C38</f>
        <v>электроме-ханик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4">
        <f t="shared" si="26"/>
        <v>122.4</v>
      </c>
      <c r="AJ20" s="14">
        <f t="shared" si="27"/>
        <v>0</v>
      </c>
      <c r="AK20" s="58">
        <f t="shared" si="28"/>
        <v>0</v>
      </c>
      <c r="AL20" s="14">
        <f>SUMPRODUCT((D$7:AH$7=Параметры!F$3:F$21)*TEXT(SUBSTITUTE(D20:AH20,"н",),"0,00;;0;\0"))</f>
        <v>0</v>
      </c>
      <c r="AM20" s="52"/>
      <c r="AN20" s="14">
        <f>VLOOKUP(TEXT($T$5,"ММММ"),Параметры!A$3:J$14,10,0)</f>
        <v>122.4</v>
      </c>
    </row>
    <row r="21" spans="1:40" s="10" customFormat="1" ht="30" customHeight="1" x14ac:dyDescent="0.2">
      <c r="A21" s="11">
        <f>Параметры!A39</f>
        <v>1927879</v>
      </c>
      <c r="B21" s="12">
        <f>Параметры!B39</f>
        <v>0</v>
      </c>
      <c r="C21" s="54" t="str">
        <f>Параметры!C39</f>
        <v>электро-монтер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4">
        <f t="shared" si="26"/>
        <v>136</v>
      </c>
      <c r="AJ21" s="14">
        <f t="shared" si="27"/>
        <v>0</v>
      </c>
      <c r="AK21" s="58">
        <f t="shared" si="28"/>
        <v>0</v>
      </c>
      <c r="AL21" s="14">
        <f>SUMPRODUCT((D$7:AH$7=Параметры!F$3:F$21)*TEXT(SUBSTITUTE(D21:AH21,"н",),"0,00;;0;\0"))</f>
        <v>0</v>
      </c>
      <c r="AM21" s="52"/>
      <c r="AN21" s="14">
        <f>VLOOKUP(TEXT($T$5,"ММММ"),Параметры!A$3:J$14,9,0)</f>
        <v>136</v>
      </c>
    </row>
    <row r="22" spans="1:40" s="10" customFormat="1" ht="30" customHeight="1" x14ac:dyDescent="0.2">
      <c r="A22" s="11">
        <f>Параметры!A40</f>
        <v>1912037</v>
      </c>
      <c r="B22" s="12">
        <f>Параметры!B40</f>
        <v>0</v>
      </c>
      <c r="C22" s="54" t="str">
        <f>Параметры!C40</f>
        <v>электро-монтер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40"/>
      <c r="AI22" s="14">
        <f t="shared" si="26"/>
        <v>136</v>
      </c>
      <c r="AJ22" s="14">
        <f t="shared" si="27"/>
        <v>0</v>
      </c>
      <c r="AK22" s="58">
        <f t="shared" si="28"/>
        <v>0</v>
      </c>
      <c r="AL22" s="14">
        <f>SUMPRODUCT((D$7:AH$7=Параметры!F$3:F$21)*TEXT(SUBSTITUTE(D22:AH22,"н",),"0,00;;0;\0"))</f>
        <v>0</v>
      </c>
      <c r="AM22" s="52"/>
      <c r="AN22" s="14">
        <f>VLOOKUP(TEXT($T$5,"ММММ"),Параметры!A$3:J$14,9,0)</f>
        <v>136</v>
      </c>
    </row>
    <row r="23" spans="1:40" s="10" customFormat="1" ht="30" customHeight="1" x14ac:dyDescent="0.2">
      <c r="A23" s="11">
        <f>Параметры!A41</f>
        <v>1913850</v>
      </c>
      <c r="B23" s="12">
        <f>Параметры!B41</f>
        <v>0</v>
      </c>
      <c r="C23" s="54" t="str">
        <f>Параметры!C41</f>
        <v>телефонист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40"/>
      <c r="AI23" s="14">
        <f t="shared" si="26"/>
        <v>122.4</v>
      </c>
      <c r="AJ23" s="14">
        <f t="shared" si="27"/>
        <v>0</v>
      </c>
      <c r="AK23" s="58">
        <f t="shared" si="28"/>
        <v>0</v>
      </c>
      <c r="AL23" s="14">
        <f>SUMPRODUCT((D$7:AH$7=Параметры!F$3:F$21)*TEXT(SUBSTITUTE(D23:AH23,"н",),"0,00;;0;\0"))</f>
        <v>0</v>
      </c>
      <c r="AM23" s="52"/>
      <c r="AN23" s="14">
        <f>VLOOKUP(TEXT($T$5,"ММММ"),Параметры!A$3:J$14,10,0)</f>
        <v>122.4</v>
      </c>
    </row>
    <row r="24" spans="1:40" s="10" customFormat="1" ht="25.15" customHeight="1" x14ac:dyDescent="0.3">
      <c r="A24" s="87" t="s">
        <v>41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</row>
    <row r="25" spans="1:40" s="10" customFormat="1" ht="25.15" customHeight="1" x14ac:dyDescent="0.3">
      <c r="A25" s="1"/>
      <c r="B25" s="2"/>
      <c r="C25" s="56"/>
      <c r="D25" s="3"/>
      <c r="E25" s="3"/>
      <c r="F25" s="3"/>
      <c r="G25" s="7"/>
      <c r="H25" s="7"/>
      <c r="I25" s="7"/>
      <c r="J25" s="7"/>
      <c r="K25" s="25"/>
      <c r="L25" s="25"/>
      <c r="M25" s="84" t="s">
        <v>43</v>
      </c>
      <c r="N25" s="84"/>
      <c r="O25" s="84"/>
      <c r="P25" s="84"/>
      <c r="Q25" s="84"/>
      <c r="R25" s="84"/>
      <c r="S25" s="84"/>
      <c r="T25" s="85">
        <f>DATE(C2,C3+1,1)</f>
        <v>43862</v>
      </c>
      <c r="U25" s="85"/>
      <c r="V25" s="85"/>
      <c r="W25" s="86">
        <v>2020</v>
      </c>
      <c r="X25" s="86"/>
      <c r="Y25" s="25" t="s">
        <v>1</v>
      </c>
      <c r="Z25" s="25"/>
      <c r="AA25" s="25"/>
      <c r="AB25" s="25"/>
      <c r="AC25" s="7"/>
      <c r="AD25" s="7"/>
      <c r="AE25" s="7"/>
      <c r="AF25" s="7"/>
      <c r="AG25" s="7"/>
      <c r="AH25" s="7"/>
      <c r="AI25" s="7"/>
      <c r="AJ25" s="3"/>
      <c r="AK25" s="3"/>
      <c r="AL25" s="3"/>
      <c r="AM25" s="15"/>
    </row>
    <row r="26" spans="1:40" ht="25.15" customHeight="1" x14ac:dyDescent="0.25">
      <c r="B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4"/>
    </row>
    <row r="27" spans="1:40" ht="50.1" customHeight="1" x14ac:dyDescent="0.2">
      <c r="A27" s="28" t="s">
        <v>2</v>
      </c>
      <c r="B27" s="27" t="s">
        <v>3</v>
      </c>
      <c r="C27" s="57" t="s">
        <v>54</v>
      </c>
      <c r="D27" s="9">
        <f>T25</f>
        <v>43862</v>
      </c>
      <c r="E27" s="9">
        <f>D27+1</f>
        <v>43863</v>
      </c>
      <c r="F27" s="9">
        <f t="shared" ref="F27" si="29">E27+1</f>
        <v>43864</v>
      </c>
      <c r="G27" s="9">
        <f t="shared" ref="G27" si="30">F27+1</f>
        <v>43865</v>
      </c>
      <c r="H27" s="9">
        <f t="shared" ref="H27" si="31">G27+1</f>
        <v>43866</v>
      </c>
      <c r="I27" s="9">
        <f t="shared" ref="I27" si="32">H27+1</f>
        <v>43867</v>
      </c>
      <c r="J27" s="9">
        <f t="shared" ref="J27" si="33">I27+1</f>
        <v>43868</v>
      </c>
      <c r="K27" s="9">
        <f t="shared" ref="K27" si="34">J27+1</f>
        <v>43869</v>
      </c>
      <c r="L27" s="9">
        <f t="shared" ref="L27" si="35">K27+1</f>
        <v>43870</v>
      </c>
      <c r="M27" s="9">
        <f t="shared" ref="M27" si="36">L27+1</f>
        <v>43871</v>
      </c>
      <c r="N27" s="9">
        <f t="shared" ref="N27" si="37">M27+1</f>
        <v>43872</v>
      </c>
      <c r="O27" s="9">
        <f t="shared" ref="O27" si="38">N27+1</f>
        <v>43873</v>
      </c>
      <c r="P27" s="9">
        <f t="shared" ref="P27" si="39">O27+1</f>
        <v>43874</v>
      </c>
      <c r="Q27" s="9">
        <f t="shared" ref="Q27" si="40">P27+1</f>
        <v>43875</v>
      </c>
      <c r="R27" s="9">
        <f t="shared" ref="R27" si="41">Q27+1</f>
        <v>43876</v>
      </c>
      <c r="S27" s="9">
        <f t="shared" ref="S27" si="42">R27+1</f>
        <v>43877</v>
      </c>
      <c r="T27" s="9">
        <f t="shared" ref="T27" si="43">S27+1</f>
        <v>43878</v>
      </c>
      <c r="U27" s="9">
        <f t="shared" ref="U27" si="44">T27+1</f>
        <v>43879</v>
      </c>
      <c r="V27" s="9">
        <f t="shared" ref="V27" si="45">U27+1</f>
        <v>43880</v>
      </c>
      <c r="W27" s="9">
        <f t="shared" ref="W27" si="46">V27+1</f>
        <v>43881</v>
      </c>
      <c r="X27" s="9">
        <f t="shared" ref="X27" si="47">W27+1</f>
        <v>43882</v>
      </c>
      <c r="Y27" s="9">
        <f t="shared" ref="Y27" si="48">X27+1</f>
        <v>43883</v>
      </c>
      <c r="Z27" s="9">
        <f t="shared" ref="Z27" si="49">Y27+1</f>
        <v>43884</v>
      </c>
      <c r="AA27" s="9">
        <f t="shared" ref="AA27" si="50">Z27+1</f>
        <v>43885</v>
      </c>
      <c r="AB27" s="9">
        <f t="shared" ref="AB27" si="51">AA27+1</f>
        <v>43886</v>
      </c>
      <c r="AC27" s="9">
        <f t="shared" ref="AC27" si="52">AB27+1</f>
        <v>43887</v>
      </c>
      <c r="AD27" s="9">
        <f t="shared" ref="AD27" si="53">AC27+1</f>
        <v>43888</v>
      </c>
      <c r="AE27" s="9">
        <f t="shared" ref="AE27" si="54">AD27+1</f>
        <v>43889</v>
      </c>
      <c r="AF27" s="19">
        <f>IF(MONTH(AE27+1)&lt;&gt;MONTH($D27),"х",AE27+1)</f>
        <v>43890</v>
      </c>
      <c r="AG27" s="19" t="str">
        <f>IF(MONTH(AE27+2)&lt;&gt;MONTH($D27),"х",AE27+2)</f>
        <v>х</v>
      </c>
      <c r="AH27" s="19" t="str">
        <f>IF(MONTH(AE27+3)&lt;&gt;MONTH($D27),"х",AE27+3)</f>
        <v>х</v>
      </c>
      <c r="AI27" s="79" t="s">
        <v>48</v>
      </c>
      <c r="AJ27" s="80" t="s">
        <v>49</v>
      </c>
      <c r="AK27" s="81" t="s">
        <v>50</v>
      </c>
      <c r="AL27" s="81" t="s">
        <v>51</v>
      </c>
      <c r="AM27" s="82" t="s">
        <v>52</v>
      </c>
      <c r="AN27" s="83" t="s">
        <v>53</v>
      </c>
    </row>
    <row r="28" spans="1:40" ht="30" customHeight="1" x14ac:dyDescent="0.2">
      <c r="A28" s="11">
        <f>Параметры!A26</f>
        <v>1902910</v>
      </c>
      <c r="B28" s="33">
        <f>Параметры!B26</f>
        <v>0</v>
      </c>
      <c r="C28" s="53" t="str">
        <f>Параметры!C26</f>
        <v>начальник участка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>
        <v>11</v>
      </c>
      <c r="AA28" s="13"/>
      <c r="AB28" s="13"/>
      <c r="AC28" s="13"/>
      <c r="AD28" s="13"/>
      <c r="AE28" s="13"/>
      <c r="AF28" s="13"/>
      <c r="AG28" s="13"/>
      <c r="AH28" s="13"/>
      <c r="AI28" s="41">
        <f t="shared" ref="AI28:AI43" si="55">AN28-AJ28</f>
        <v>141</v>
      </c>
      <c r="AJ28" s="14">
        <f t="shared" ref="AJ28:AJ43" si="56">SUMPRODUCT(--TEXT(SUBSTITUTE(SUBSTITUTE(D28:AH28,"7,5/4",11.5),"н",),"0,00;;;\0"))+COUNTIF(D28:AH28,"К")*8+COUNTIF(D28:AH28,"Кп")*7</f>
        <v>11</v>
      </c>
      <c r="AK28" s="58">
        <f>COUNTIF(D28:AH28,"4")*2+COUNTIF(D28:AH28,"7,5")*6+COUNTIF(D28:AH28,"7,5/4")*8</f>
        <v>0</v>
      </c>
      <c r="AL28" s="14">
        <f>SUMPRODUCT((D$27:AH$27=Параметры!F$3:F$21)*TEXT(SUBSTITUTE(D28:AH28,"н",),"0,00;;0;\0"))</f>
        <v>11</v>
      </c>
      <c r="AM28" s="39"/>
      <c r="AN28" s="14">
        <f>VLOOKUP(TEXT($T$25,"ММММ"),Параметры!A$3:J$14,9,0)</f>
        <v>152</v>
      </c>
    </row>
    <row r="29" spans="1:40" ht="30" customHeight="1" x14ac:dyDescent="0.2">
      <c r="A29" s="11">
        <f>Параметры!A27</f>
        <v>1904068</v>
      </c>
      <c r="B29" s="33">
        <f>Параметры!B27</f>
        <v>0</v>
      </c>
      <c r="C29" s="53" t="str">
        <f>Параметры!C27</f>
        <v>инженер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>
        <v>11</v>
      </c>
      <c r="AA29" s="13"/>
      <c r="AB29" s="13"/>
      <c r="AC29" s="13"/>
      <c r="AD29" s="13"/>
      <c r="AE29" s="13"/>
      <c r="AF29" s="13"/>
      <c r="AG29" s="13"/>
      <c r="AH29" s="13"/>
      <c r="AI29" s="41">
        <f t="shared" si="55"/>
        <v>141</v>
      </c>
      <c r="AJ29" s="14">
        <f t="shared" si="56"/>
        <v>11</v>
      </c>
      <c r="AK29" s="58">
        <f t="shared" ref="AK29:AK43" si="57">COUNTIF(D29:AH29,"4")*2+COUNTIF(D29:AH29,"7,5")*6+COUNTIF(D29:AH29,"7,5/4")*8</f>
        <v>0</v>
      </c>
      <c r="AL29" s="14">
        <f>SUMPRODUCT((D$27:AH$27=Параметры!F$3:F$21)*TEXT(SUBSTITUTE(D29:AH29,"н",),"0,00;;0;\0"))</f>
        <v>11</v>
      </c>
      <c r="AM29" s="39"/>
      <c r="AN29" s="14">
        <f>VLOOKUP(TEXT($T$25,"ММММ"),Параметры!A$3:J$14,9,0)</f>
        <v>152</v>
      </c>
    </row>
    <row r="30" spans="1:40" ht="30" customHeight="1" x14ac:dyDescent="0.2">
      <c r="A30" s="11">
        <f>Параметры!A28</f>
        <v>1915436</v>
      </c>
      <c r="B30" s="33">
        <f>Параметры!B28</f>
        <v>0</v>
      </c>
      <c r="C30" s="53" t="str">
        <f>Параметры!C28</f>
        <v>электроме-ханик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>
        <v>11</v>
      </c>
      <c r="AA30" s="13"/>
      <c r="AB30" s="13"/>
      <c r="AC30" s="13"/>
      <c r="AD30" s="13"/>
      <c r="AE30" s="13"/>
      <c r="AF30" s="13"/>
      <c r="AG30" s="13"/>
      <c r="AH30" s="13"/>
      <c r="AI30" s="41">
        <f t="shared" si="55"/>
        <v>141</v>
      </c>
      <c r="AJ30" s="14">
        <f t="shared" si="56"/>
        <v>11</v>
      </c>
      <c r="AK30" s="58">
        <f t="shared" si="57"/>
        <v>0</v>
      </c>
      <c r="AL30" s="14">
        <f>SUMPRODUCT((D$27:AH$27=Параметры!F$3:F$21)*TEXT(SUBSTITUTE(D30:AH30,"н",),"0,00;;0;\0"))</f>
        <v>11</v>
      </c>
      <c r="AM30" s="39"/>
      <c r="AN30" s="14">
        <f>VLOOKUP(TEXT($T$25,"ММММ"),Параметры!A$3:J$14,9,0)</f>
        <v>152</v>
      </c>
    </row>
    <row r="31" spans="1:40" ht="30" customHeight="1" x14ac:dyDescent="0.2">
      <c r="A31" s="11">
        <f>Параметры!A29</f>
        <v>1912045</v>
      </c>
      <c r="B31" s="33">
        <f>Параметры!B29</f>
        <v>0</v>
      </c>
      <c r="C31" s="53" t="str">
        <f>Параметры!C29</f>
        <v>электроме-ханик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>
        <v>11</v>
      </c>
      <c r="AA31" s="13"/>
      <c r="AB31" s="13"/>
      <c r="AC31" s="13"/>
      <c r="AD31" s="13"/>
      <c r="AE31" s="13"/>
      <c r="AF31" s="13"/>
      <c r="AG31" s="13"/>
      <c r="AH31" s="13"/>
      <c r="AI31" s="41">
        <f t="shared" si="55"/>
        <v>125.80000000000001</v>
      </c>
      <c r="AJ31" s="14">
        <f t="shared" si="56"/>
        <v>11</v>
      </c>
      <c r="AK31" s="58">
        <f t="shared" si="57"/>
        <v>0</v>
      </c>
      <c r="AL31" s="14">
        <f>SUMPRODUCT((D$27:AH$27=Параметры!F$3:F$21)*TEXT(SUBSTITUTE(D31:AH31,"н",),"0,00;;0;\0"))</f>
        <v>11</v>
      </c>
      <c r="AM31" s="39"/>
      <c r="AN31" s="14">
        <f>VLOOKUP(TEXT($T$25,"ММММ"),Параметры!A$3:J$14,10,0)</f>
        <v>136.80000000000001</v>
      </c>
    </row>
    <row r="32" spans="1:40" ht="30" customHeight="1" x14ac:dyDescent="0.2">
      <c r="A32" s="11">
        <f>Параметры!A30</f>
        <v>1912103</v>
      </c>
      <c r="B32" s="33">
        <f>Параметры!B30</f>
        <v>0</v>
      </c>
      <c r="C32" s="53" t="str">
        <f>Параметры!C30</f>
        <v>электроме-ханик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>
        <v>11</v>
      </c>
      <c r="AA32" s="13"/>
      <c r="AB32" s="13"/>
      <c r="AC32" s="13"/>
      <c r="AD32" s="13"/>
      <c r="AE32" s="13"/>
      <c r="AF32" s="13"/>
      <c r="AG32" s="13"/>
      <c r="AH32" s="13"/>
      <c r="AI32" s="41">
        <f t="shared" si="55"/>
        <v>141</v>
      </c>
      <c r="AJ32" s="14">
        <f t="shared" si="56"/>
        <v>11</v>
      </c>
      <c r="AK32" s="58">
        <f t="shared" si="57"/>
        <v>0</v>
      </c>
      <c r="AL32" s="14">
        <f>SUMPRODUCT((D$27:AH$27=Параметры!F$3:F$21)*TEXT(SUBSTITUTE(D32:AH32,"н",),"0,00;;0;\0"))</f>
        <v>11</v>
      </c>
      <c r="AM32" s="39"/>
      <c r="AN32" s="14">
        <f>VLOOKUP(TEXT($T$25,"ММММ"),Параметры!A$3:J$14,9,0)</f>
        <v>152</v>
      </c>
    </row>
    <row r="33" spans="1:40" ht="30" customHeight="1" x14ac:dyDescent="0.2">
      <c r="A33" s="11">
        <f>Параметры!A31</f>
        <v>1912622</v>
      </c>
      <c r="B33" s="33">
        <f>Параметры!B31</f>
        <v>0</v>
      </c>
      <c r="C33" s="53" t="str">
        <f>Параметры!C31</f>
        <v>электро-монтер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>
        <v>11</v>
      </c>
      <c r="AA33" s="13"/>
      <c r="AB33" s="13"/>
      <c r="AC33" s="13"/>
      <c r="AD33" s="13"/>
      <c r="AE33" s="13"/>
      <c r="AF33" s="13"/>
      <c r="AG33" s="13"/>
      <c r="AH33" s="13"/>
      <c r="AI33" s="41">
        <f t="shared" si="55"/>
        <v>141</v>
      </c>
      <c r="AJ33" s="14">
        <f t="shared" si="56"/>
        <v>11</v>
      </c>
      <c r="AK33" s="58">
        <f t="shared" si="57"/>
        <v>0</v>
      </c>
      <c r="AL33" s="14">
        <f>SUMPRODUCT((D$27:AH$27=Параметры!F$3:F$21)*TEXT(SUBSTITUTE(D33:AH33,"н",),"0,00;;0;\0"))</f>
        <v>11</v>
      </c>
      <c r="AM33" s="39"/>
      <c r="AN33" s="14">
        <f>VLOOKUP(TEXT($T$25,"ММММ"),Параметры!A$3:J$14,9,0)</f>
        <v>152</v>
      </c>
    </row>
    <row r="34" spans="1:40" ht="30" customHeight="1" x14ac:dyDescent="0.2">
      <c r="A34" s="11">
        <f>Параметры!A32</f>
        <v>1912114</v>
      </c>
      <c r="B34" s="33">
        <f>Параметры!B32</f>
        <v>0</v>
      </c>
      <c r="C34" s="53" t="str">
        <f>Параметры!C32</f>
        <v>электро-монтер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>
        <v>11</v>
      </c>
      <c r="AA34" s="13"/>
      <c r="AB34" s="13"/>
      <c r="AC34" s="13"/>
      <c r="AD34" s="13"/>
      <c r="AE34" s="13"/>
      <c r="AF34" s="13"/>
      <c r="AG34" s="13"/>
      <c r="AH34" s="13"/>
      <c r="AI34" s="41">
        <f t="shared" si="55"/>
        <v>141</v>
      </c>
      <c r="AJ34" s="14">
        <f t="shared" si="56"/>
        <v>11</v>
      </c>
      <c r="AK34" s="58">
        <f t="shared" si="57"/>
        <v>0</v>
      </c>
      <c r="AL34" s="14">
        <f>SUMPRODUCT((D$27:AH$27=Параметры!F$3:F$21)*TEXT(SUBSTITUTE(D34:AH34,"н",),"0,00;;0;\0"))</f>
        <v>11</v>
      </c>
      <c r="AM34" s="39"/>
      <c r="AN34" s="14">
        <f>VLOOKUP(TEXT($T$25,"ММММ"),Параметры!A$3:J$14,9,0)</f>
        <v>152</v>
      </c>
    </row>
    <row r="35" spans="1:40" ht="30" customHeight="1" x14ac:dyDescent="0.2">
      <c r="A35" s="11">
        <f>Параметры!A33</f>
        <v>1925206</v>
      </c>
      <c r="B35" s="33">
        <f>Параметры!B33</f>
        <v>0</v>
      </c>
      <c r="C35" s="53" t="str">
        <f>Параметры!C33</f>
        <v>телефонист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>
        <v>11</v>
      </c>
      <c r="AA35" s="13"/>
      <c r="AB35" s="13"/>
      <c r="AC35" s="13"/>
      <c r="AD35" s="13"/>
      <c r="AE35" s="13"/>
      <c r="AF35" s="13"/>
      <c r="AG35" s="13"/>
      <c r="AH35" s="13"/>
      <c r="AI35" s="41">
        <f t="shared" si="55"/>
        <v>125.80000000000001</v>
      </c>
      <c r="AJ35" s="14">
        <f t="shared" si="56"/>
        <v>11</v>
      </c>
      <c r="AK35" s="58">
        <f t="shared" si="57"/>
        <v>0</v>
      </c>
      <c r="AL35" s="14">
        <f>SUMPRODUCT((D$27:AH$27=Параметры!F$3:F$21)*TEXT(SUBSTITUTE(D35:AH35,"н",),"0,00;;0;\0"))</f>
        <v>11</v>
      </c>
      <c r="AM35" s="39"/>
      <c r="AN35" s="14">
        <f>VLOOKUP(TEXT($T$25,"ММММ"),Параметры!A$3:J$14,10,0)</f>
        <v>136.80000000000001</v>
      </c>
    </row>
    <row r="36" spans="1:40" ht="30" customHeight="1" x14ac:dyDescent="0.2">
      <c r="A36" s="11">
        <f>Параметры!A34</f>
        <v>1904059</v>
      </c>
      <c r="B36" s="33">
        <f>Параметры!B34</f>
        <v>0</v>
      </c>
      <c r="C36" s="53" t="str">
        <f>Параметры!C34</f>
        <v>инженер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>
        <v>11</v>
      </c>
      <c r="AA36" s="13"/>
      <c r="AB36" s="13"/>
      <c r="AC36" s="13"/>
      <c r="AD36" s="13"/>
      <c r="AE36" s="13"/>
      <c r="AF36" s="13"/>
      <c r="AG36" s="13"/>
      <c r="AH36" s="13"/>
      <c r="AI36" s="41">
        <f t="shared" si="55"/>
        <v>141</v>
      </c>
      <c r="AJ36" s="14">
        <f t="shared" si="56"/>
        <v>11</v>
      </c>
      <c r="AK36" s="58">
        <f t="shared" si="57"/>
        <v>0</v>
      </c>
      <c r="AL36" s="14">
        <f>SUMPRODUCT((D$27:AH$27=Параметры!F$3:F$21)*TEXT(SUBSTITUTE(D36:AH36,"н",),"0,00;;0;\0"))</f>
        <v>11</v>
      </c>
      <c r="AM36" s="39"/>
      <c r="AN36" s="14">
        <f>VLOOKUP(TEXT($T$25,"ММММ"),Параметры!A$3:J$14,9,0)</f>
        <v>152</v>
      </c>
    </row>
    <row r="37" spans="1:40" ht="30" customHeight="1" x14ac:dyDescent="0.2">
      <c r="A37" s="11">
        <f>Параметры!A35</f>
        <v>1912510</v>
      </c>
      <c r="B37" s="33">
        <f>Параметры!B35</f>
        <v>0</v>
      </c>
      <c r="C37" s="53" t="str">
        <f>Параметры!C35</f>
        <v>электроме-ханик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>
        <v>11</v>
      </c>
      <c r="AA37" s="13"/>
      <c r="AB37" s="13"/>
      <c r="AC37" s="13"/>
      <c r="AD37" s="13"/>
      <c r="AE37" s="13"/>
      <c r="AF37" s="13"/>
      <c r="AG37" s="13"/>
      <c r="AH37" s="13"/>
      <c r="AI37" s="41">
        <f t="shared" si="55"/>
        <v>125.80000000000001</v>
      </c>
      <c r="AJ37" s="14">
        <f t="shared" si="56"/>
        <v>11</v>
      </c>
      <c r="AK37" s="58">
        <f t="shared" si="57"/>
        <v>0</v>
      </c>
      <c r="AL37" s="14">
        <f>SUMPRODUCT((D$27:AH$27=Параметры!F$3:F$21)*TEXT(SUBSTITUTE(D37:AH37,"н",),"0,00;;0;\0"))</f>
        <v>11</v>
      </c>
      <c r="AM37" s="39"/>
      <c r="AN37" s="14">
        <f>VLOOKUP(TEXT($T$25,"ММММ"),Параметры!A$3:J$14,10,0)</f>
        <v>136.80000000000001</v>
      </c>
    </row>
    <row r="38" spans="1:40" ht="30" customHeight="1" x14ac:dyDescent="0.2">
      <c r="A38" s="11">
        <f>Параметры!A36</f>
        <v>1912130</v>
      </c>
      <c r="B38" s="33">
        <f>Параметры!B36</f>
        <v>0</v>
      </c>
      <c r="C38" s="53" t="str">
        <f>Параметры!C36</f>
        <v>электроме-ханик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>
        <v>11</v>
      </c>
      <c r="AA38" s="13"/>
      <c r="AB38" s="13"/>
      <c r="AC38" s="13"/>
      <c r="AD38" s="13"/>
      <c r="AE38" s="13"/>
      <c r="AF38" s="13"/>
      <c r="AG38" s="13"/>
      <c r="AH38" s="13"/>
      <c r="AI38" s="41">
        <f t="shared" si="55"/>
        <v>141</v>
      </c>
      <c r="AJ38" s="14">
        <f t="shared" si="56"/>
        <v>11</v>
      </c>
      <c r="AK38" s="58">
        <f t="shared" si="57"/>
        <v>0</v>
      </c>
      <c r="AL38" s="14">
        <f>SUMPRODUCT((D$27:AH$27=Параметры!F$3:F$21)*TEXT(SUBSTITUTE(D38:AH38,"н",),"0,00;;0;\0"))</f>
        <v>11</v>
      </c>
      <c r="AM38" s="39"/>
      <c r="AN38" s="14">
        <f>VLOOKUP(TEXT($T$25,"ММММ"),Параметры!A$3:J$14,9,0)</f>
        <v>152</v>
      </c>
    </row>
    <row r="39" spans="1:40" ht="30" customHeight="1" x14ac:dyDescent="0.2">
      <c r="A39" s="11">
        <f>Параметры!A37</f>
        <v>1915704</v>
      </c>
      <c r="B39" s="33">
        <f>Параметры!B37</f>
        <v>0</v>
      </c>
      <c r="C39" s="53" t="str">
        <f>Параметры!C37</f>
        <v>электроме-ханик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>
        <v>11</v>
      </c>
      <c r="AA39" s="13"/>
      <c r="AB39" s="13"/>
      <c r="AC39" s="13"/>
      <c r="AD39" s="13"/>
      <c r="AE39" s="13"/>
      <c r="AF39" s="13"/>
      <c r="AG39" s="13"/>
      <c r="AH39" s="13"/>
      <c r="AI39" s="41">
        <f t="shared" si="55"/>
        <v>141</v>
      </c>
      <c r="AJ39" s="14">
        <f t="shared" si="56"/>
        <v>11</v>
      </c>
      <c r="AK39" s="58">
        <f t="shared" si="57"/>
        <v>0</v>
      </c>
      <c r="AL39" s="14">
        <f>SUMPRODUCT((D$27:AH$27=Параметры!F$3:F$21)*TEXT(SUBSTITUTE(D39:AH39,"н",),"0,00;;0;\0"))</f>
        <v>11</v>
      </c>
      <c r="AM39" s="39"/>
      <c r="AN39" s="14">
        <f>VLOOKUP(TEXT($T$25,"ММММ"),Параметры!A$3:J$14,9,0)</f>
        <v>152</v>
      </c>
    </row>
    <row r="40" spans="1:40" ht="30" customHeight="1" x14ac:dyDescent="0.2">
      <c r="A40" s="11">
        <f>Параметры!A38</f>
        <v>1912044</v>
      </c>
      <c r="B40" s="33">
        <f>Параметры!B38</f>
        <v>0</v>
      </c>
      <c r="C40" s="53" t="str">
        <f>Параметры!C38</f>
        <v>электроме-ханик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>
        <v>11</v>
      </c>
      <c r="AA40" s="13"/>
      <c r="AB40" s="13"/>
      <c r="AC40" s="13"/>
      <c r="AD40" s="13"/>
      <c r="AE40" s="13"/>
      <c r="AF40" s="13"/>
      <c r="AG40" s="13"/>
      <c r="AH40" s="13"/>
      <c r="AI40" s="41">
        <f t="shared" si="55"/>
        <v>125.80000000000001</v>
      </c>
      <c r="AJ40" s="14">
        <f t="shared" si="56"/>
        <v>11</v>
      </c>
      <c r="AK40" s="58">
        <f t="shared" si="57"/>
        <v>0</v>
      </c>
      <c r="AL40" s="14">
        <f>SUMPRODUCT((D$27:AH$27=Параметры!F$3:F$21)*TEXT(SUBSTITUTE(D40:AH40,"н",),"0,00;;0;\0"))</f>
        <v>11</v>
      </c>
      <c r="AM40" s="39"/>
      <c r="AN40" s="14">
        <f>VLOOKUP(TEXT($T$25,"ММММ"),Параметры!A$3:J$14,10,0)</f>
        <v>136.80000000000001</v>
      </c>
    </row>
    <row r="41" spans="1:40" ht="30" customHeight="1" x14ac:dyDescent="0.2">
      <c r="A41" s="11">
        <f>Параметры!A39</f>
        <v>1927879</v>
      </c>
      <c r="B41" s="33">
        <f>Параметры!B39</f>
        <v>0</v>
      </c>
      <c r="C41" s="53" t="str">
        <f>Параметры!C39</f>
        <v>электро-монтер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>
        <v>4</v>
      </c>
      <c r="Y41" s="13"/>
      <c r="Z41" s="13">
        <v>11</v>
      </c>
      <c r="AA41" s="13"/>
      <c r="AB41" s="13"/>
      <c r="AC41" s="13"/>
      <c r="AD41" s="13"/>
      <c r="AE41" s="13"/>
      <c r="AF41" s="13"/>
      <c r="AG41" s="13"/>
      <c r="AH41" s="13"/>
      <c r="AI41" s="41">
        <f t="shared" si="55"/>
        <v>137</v>
      </c>
      <c r="AJ41" s="14">
        <f t="shared" si="56"/>
        <v>15</v>
      </c>
      <c r="AK41" s="58">
        <f t="shared" si="57"/>
        <v>2</v>
      </c>
      <c r="AL41" s="14">
        <f>SUMPRODUCT((D$27:AH$27=Параметры!F$3:F$21)*TEXT(SUBSTITUTE(D41:AH41,"н",),"0,00;;0;\0"))</f>
        <v>11</v>
      </c>
      <c r="AM41" s="39"/>
      <c r="AN41" s="14">
        <f>VLOOKUP(TEXT($T$25,"ММММ"),Параметры!A$3:J$14,9,0)</f>
        <v>152</v>
      </c>
    </row>
    <row r="42" spans="1:40" ht="30" customHeight="1" x14ac:dyDescent="0.2">
      <c r="A42" s="11">
        <f>Параметры!A40</f>
        <v>1912037</v>
      </c>
      <c r="B42" s="33">
        <f>Параметры!B40</f>
        <v>0</v>
      </c>
      <c r="C42" s="53" t="str">
        <f>Параметры!C40</f>
        <v>электро-монтер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>
        <v>11</v>
      </c>
      <c r="AA42" s="13"/>
      <c r="AB42" s="13"/>
      <c r="AC42" s="13"/>
      <c r="AD42" s="13"/>
      <c r="AE42" s="13"/>
      <c r="AF42" s="13"/>
      <c r="AG42" s="13"/>
      <c r="AH42" s="13"/>
      <c r="AI42" s="41">
        <f t="shared" si="55"/>
        <v>141</v>
      </c>
      <c r="AJ42" s="14">
        <f t="shared" si="56"/>
        <v>11</v>
      </c>
      <c r="AK42" s="58">
        <f t="shared" si="57"/>
        <v>0</v>
      </c>
      <c r="AL42" s="14">
        <f>SUMPRODUCT((D$27:AH$27=Параметры!F$3:F$21)*TEXT(SUBSTITUTE(D42:AH42,"н",),"0,00;;0;\0"))</f>
        <v>11</v>
      </c>
      <c r="AM42" s="39"/>
      <c r="AN42" s="14">
        <f>VLOOKUP(TEXT($T$25,"ММММ"),Параметры!A$3:J$14,9,0)</f>
        <v>152</v>
      </c>
    </row>
    <row r="43" spans="1:40" ht="30" customHeight="1" x14ac:dyDescent="0.2">
      <c r="A43" s="11">
        <f>Параметры!A41</f>
        <v>1913850</v>
      </c>
      <c r="B43" s="33">
        <f>Параметры!B41</f>
        <v>0</v>
      </c>
      <c r="C43" s="53" t="str">
        <f>Параметры!C41</f>
        <v>телефонист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>
        <v>11</v>
      </c>
      <c r="AA43" s="13"/>
      <c r="AB43" s="13"/>
      <c r="AC43" s="13"/>
      <c r="AD43" s="13"/>
      <c r="AE43" s="13"/>
      <c r="AF43" s="13"/>
      <c r="AG43" s="13"/>
      <c r="AH43" s="13"/>
      <c r="AI43" s="41">
        <f t="shared" si="55"/>
        <v>125.80000000000001</v>
      </c>
      <c r="AJ43" s="14">
        <f t="shared" si="56"/>
        <v>11</v>
      </c>
      <c r="AK43" s="58">
        <f t="shared" si="57"/>
        <v>0</v>
      </c>
      <c r="AL43" s="14">
        <f>SUMPRODUCT((D$27:AH$27=Параметры!F$3:F$21)*TEXT(SUBSTITUTE(D43:AH43,"н",),"0,00;;0;\0"))</f>
        <v>11</v>
      </c>
      <c r="AM43" s="39"/>
      <c r="AN43" s="14">
        <f>VLOOKUP(TEXT($T$25,"ММММ"),Параметры!A$3:J$14,10,0)</f>
        <v>136.80000000000001</v>
      </c>
    </row>
    <row r="44" spans="1:40" s="10" customFormat="1" ht="25.15" customHeight="1" x14ac:dyDescent="0.3">
      <c r="A44" s="87" t="s">
        <v>41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</row>
    <row r="45" spans="1:40" s="10" customFormat="1" ht="25.15" customHeight="1" x14ac:dyDescent="0.3">
      <c r="A45" s="22"/>
      <c r="B45" s="23"/>
      <c r="C45" s="56"/>
      <c r="D45" s="24"/>
      <c r="E45" s="24"/>
      <c r="F45" s="24"/>
      <c r="G45" s="25"/>
      <c r="H45" s="25"/>
      <c r="I45" s="25"/>
      <c r="J45" s="25"/>
      <c r="K45" s="25"/>
      <c r="L45" s="25"/>
      <c r="M45" s="84" t="s">
        <v>43</v>
      </c>
      <c r="N45" s="84"/>
      <c r="O45" s="84"/>
      <c r="P45" s="84"/>
      <c r="Q45" s="84"/>
      <c r="R45" s="84"/>
      <c r="S45" s="84"/>
      <c r="T45" s="85">
        <f>DATE(C2,C3+2,1)</f>
        <v>43891</v>
      </c>
      <c r="U45" s="85"/>
      <c r="V45" s="85"/>
      <c r="W45" s="86">
        <v>2020</v>
      </c>
      <c r="X45" s="86"/>
      <c r="Y45" s="25" t="s">
        <v>1</v>
      </c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4"/>
      <c r="AK45" s="24"/>
      <c r="AL45" s="24"/>
      <c r="AM45" s="26"/>
    </row>
    <row r="46" spans="1:40" ht="24.6" customHeight="1" x14ac:dyDescent="0.25">
      <c r="B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4"/>
    </row>
    <row r="47" spans="1:40" ht="50.1" customHeight="1" x14ac:dyDescent="0.2">
      <c r="A47" s="28" t="s">
        <v>2</v>
      </c>
      <c r="B47" s="27" t="s">
        <v>3</v>
      </c>
      <c r="C47" s="57" t="s">
        <v>54</v>
      </c>
      <c r="D47" s="29">
        <f>T45</f>
        <v>43891</v>
      </c>
      <c r="E47" s="29">
        <f>D47+1</f>
        <v>43892</v>
      </c>
      <c r="F47" s="29">
        <f t="shared" ref="F47" si="58">E47+1</f>
        <v>43893</v>
      </c>
      <c r="G47" s="29">
        <f t="shared" ref="G47" si="59">F47+1</f>
        <v>43894</v>
      </c>
      <c r="H47" s="29">
        <f t="shared" ref="H47" si="60">G47+1</f>
        <v>43895</v>
      </c>
      <c r="I47" s="29">
        <f t="shared" ref="I47" si="61">H47+1</f>
        <v>43896</v>
      </c>
      <c r="J47" s="29">
        <f t="shared" ref="J47" si="62">I47+1</f>
        <v>43897</v>
      </c>
      <c r="K47" s="29">
        <f t="shared" ref="K47" si="63">J47+1</f>
        <v>43898</v>
      </c>
      <c r="L47" s="29">
        <f t="shared" ref="L47" si="64">K47+1</f>
        <v>43899</v>
      </c>
      <c r="M47" s="29">
        <f t="shared" ref="M47" si="65">L47+1</f>
        <v>43900</v>
      </c>
      <c r="N47" s="29">
        <f t="shared" ref="N47" si="66">M47+1</f>
        <v>43901</v>
      </c>
      <c r="O47" s="29">
        <f t="shared" ref="O47" si="67">N47+1</f>
        <v>43902</v>
      </c>
      <c r="P47" s="29">
        <f t="shared" ref="P47" si="68">O47+1</f>
        <v>43903</v>
      </c>
      <c r="Q47" s="29">
        <f t="shared" ref="Q47" si="69">P47+1</f>
        <v>43904</v>
      </c>
      <c r="R47" s="29">
        <f t="shared" ref="R47" si="70">Q47+1</f>
        <v>43905</v>
      </c>
      <c r="S47" s="29">
        <f t="shared" ref="S47" si="71">R47+1</f>
        <v>43906</v>
      </c>
      <c r="T47" s="29">
        <f t="shared" ref="T47" si="72">S47+1</f>
        <v>43907</v>
      </c>
      <c r="U47" s="29">
        <f t="shared" ref="U47" si="73">T47+1</f>
        <v>43908</v>
      </c>
      <c r="V47" s="29">
        <f t="shared" ref="V47" si="74">U47+1</f>
        <v>43909</v>
      </c>
      <c r="W47" s="29">
        <f t="shared" ref="W47" si="75">V47+1</f>
        <v>43910</v>
      </c>
      <c r="X47" s="29">
        <f t="shared" ref="X47" si="76">W47+1</f>
        <v>43911</v>
      </c>
      <c r="Y47" s="29">
        <f t="shared" ref="Y47" si="77">X47+1</f>
        <v>43912</v>
      </c>
      <c r="Z47" s="29">
        <f t="shared" ref="Z47" si="78">Y47+1</f>
        <v>43913</v>
      </c>
      <c r="AA47" s="29">
        <f t="shared" ref="AA47" si="79">Z47+1</f>
        <v>43914</v>
      </c>
      <c r="AB47" s="29">
        <f t="shared" ref="AB47" si="80">AA47+1</f>
        <v>43915</v>
      </c>
      <c r="AC47" s="29">
        <f t="shared" ref="AC47" si="81">AB47+1</f>
        <v>43916</v>
      </c>
      <c r="AD47" s="29">
        <f t="shared" ref="AD47" si="82">AC47+1</f>
        <v>43917</v>
      </c>
      <c r="AE47" s="29">
        <f t="shared" ref="AE47" si="83">AD47+1</f>
        <v>43918</v>
      </c>
      <c r="AF47" s="30">
        <f>IF(MONTH(AE47+1)&lt;&gt;MONTH($D47),"х",AE47+1)</f>
        <v>43919</v>
      </c>
      <c r="AG47" s="30">
        <f>IF(MONTH(AE47+2)&lt;&gt;MONTH($D47),"х",AE47+2)</f>
        <v>43920</v>
      </c>
      <c r="AH47" s="30">
        <f>IF(MONTH(AE47+3)&lt;&gt;MONTH($D47),"х",AE47+3)</f>
        <v>43921</v>
      </c>
      <c r="AI47" s="79" t="s">
        <v>48</v>
      </c>
      <c r="AJ47" s="80" t="s">
        <v>49</v>
      </c>
      <c r="AK47" s="81" t="s">
        <v>50</v>
      </c>
      <c r="AL47" s="81" t="s">
        <v>51</v>
      </c>
      <c r="AM47" s="82" t="s">
        <v>52</v>
      </c>
      <c r="AN47" s="83" t="s">
        <v>53</v>
      </c>
    </row>
    <row r="48" spans="1:40" ht="30" customHeight="1" x14ac:dyDescent="0.2">
      <c r="A48" s="11">
        <f>Параметры!A26</f>
        <v>1902910</v>
      </c>
      <c r="B48" s="34">
        <f>Параметры!B26</f>
        <v>0</v>
      </c>
      <c r="C48" s="53" t="str">
        <f>Параметры!C26</f>
        <v>начальник участка</v>
      </c>
      <c r="D48" s="31"/>
      <c r="E48" s="31"/>
      <c r="F48" s="31"/>
      <c r="G48" s="31"/>
      <c r="H48" s="31"/>
      <c r="I48" s="31"/>
      <c r="J48" s="31"/>
      <c r="K48" s="31">
        <v>11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41">
        <f t="shared" ref="AI48:AI63" si="84">AN48-AJ48</f>
        <v>157</v>
      </c>
      <c r="AJ48" s="14">
        <f t="shared" ref="AJ48:AJ63" si="85">SUMPRODUCT(--TEXT(SUBSTITUTE(SUBSTITUTE(D48:AH48,"7,5/4",11.5),"н",),"0,00;;;\0"))+COUNTIF(D48:AH48,"К")*8+COUNTIF(D48:AH48,"Кп")*7</f>
        <v>11</v>
      </c>
      <c r="AK48" s="58">
        <f>COUNTIF(D48:AH48,"4")*2+COUNTIF(D48:AH48,"7,5")*6+COUNTIF(D48:AH48,"7,5/4")*8</f>
        <v>0</v>
      </c>
      <c r="AL48" s="32">
        <f>SUMPRODUCT((D$47:AH$47=Параметры!F$3:F$21)*TEXT(SUBSTITUTE(D48:AH48,"н",),"0,00;;0;\0"))</f>
        <v>11</v>
      </c>
      <c r="AM48" s="39"/>
      <c r="AN48" s="32">
        <f>VLOOKUP(TEXT($T$45,"ММММ"),Параметры!A$3:J$14,9,0)</f>
        <v>168</v>
      </c>
    </row>
    <row r="49" spans="1:40" ht="30" customHeight="1" x14ac:dyDescent="0.2">
      <c r="A49" s="11">
        <f>Параметры!A27</f>
        <v>1904068</v>
      </c>
      <c r="B49" s="34">
        <f>Параметры!B27</f>
        <v>0</v>
      </c>
      <c r="C49" s="53" t="str">
        <f>Параметры!C27</f>
        <v>инженер</v>
      </c>
      <c r="D49" s="31"/>
      <c r="E49" s="31"/>
      <c r="F49" s="31"/>
      <c r="G49" s="31"/>
      <c r="H49" s="31"/>
      <c r="I49" s="31"/>
      <c r="J49" s="31"/>
      <c r="K49" s="31">
        <v>11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41">
        <f t="shared" si="84"/>
        <v>157</v>
      </c>
      <c r="AJ49" s="14">
        <f t="shared" si="85"/>
        <v>11</v>
      </c>
      <c r="AK49" s="58">
        <f t="shared" ref="AK49:AK63" si="86">COUNTIF(D49:AH49,"4")*2+COUNTIF(D49:AH49,"7,5")*6+COUNTIF(D49:AH49,"7,5/4")*8</f>
        <v>0</v>
      </c>
      <c r="AL49" s="32">
        <f>SUMPRODUCT((D$47:AH$47=Параметры!F$3:F$21)*TEXT(SUBSTITUTE(D49:AH49,"н",),"0,00;;0;\0"))</f>
        <v>11</v>
      </c>
      <c r="AM49" s="39"/>
      <c r="AN49" s="32">
        <f>VLOOKUP(TEXT($T$45,"ММММ"),Параметры!A$3:J$14,9,0)</f>
        <v>168</v>
      </c>
    </row>
    <row r="50" spans="1:40" ht="30" customHeight="1" x14ac:dyDescent="0.2">
      <c r="A50" s="11">
        <f>Параметры!A28</f>
        <v>1915436</v>
      </c>
      <c r="B50" s="34">
        <f>Параметры!B28</f>
        <v>0</v>
      </c>
      <c r="C50" s="53" t="str">
        <f>Параметры!C28</f>
        <v>электроме-ханик</v>
      </c>
      <c r="D50" s="31"/>
      <c r="E50" s="31"/>
      <c r="F50" s="31"/>
      <c r="G50" s="31"/>
      <c r="H50" s="31"/>
      <c r="I50" s="31"/>
      <c r="J50" s="31"/>
      <c r="K50" s="31">
        <v>11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41">
        <f t="shared" si="84"/>
        <v>157</v>
      </c>
      <c r="AJ50" s="14">
        <f t="shared" si="85"/>
        <v>11</v>
      </c>
      <c r="AK50" s="58">
        <f t="shared" si="86"/>
        <v>0</v>
      </c>
      <c r="AL50" s="32">
        <f>SUMPRODUCT((D$47:AH$47=Параметры!F$3:F$21)*TEXT(SUBSTITUTE(D50:AH50,"н",),"0,00;;0;\0"))</f>
        <v>11</v>
      </c>
      <c r="AM50" s="39"/>
      <c r="AN50" s="32">
        <f>VLOOKUP(TEXT($T$45,"ММММ"),Параметры!A$3:J$14,9,0)</f>
        <v>168</v>
      </c>
    </row>
    <row r="51" spans="1:40" ht="30" customHeight="1" x14ac:dyDescent="0.2">
      <c r="A51" s="11">
        <f>Параметры!A29</f>
        <v>1912045</v>
      </c>
      <c r="B51" s="34">
        <f>Параметры!B29</f>
        <v>0</v>
      </c>
      <c r="C51" s="53" t="str">
        <f>Параметры!C29</f>
        <v>электроме-ханик</v>
      </c>
      <c r="D51" s="31"/>
      <c r="E51" s="31"/>
      <c r="F51" s="31"/>
      <c r="G51" s="31"/>
      <c r="H51" s="31"/>
      <c r="I51" s="31"/>
      <c r="J51" s="31"/>
      <c r="K51" s="31">
        <v>11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41">
        <f t="shared" si="84"/>
        <v>140.19999999999999</v>
      </c>
      <c r="AJ51" s="14">
        <f t="shared" si="85"/>
        <v>11</v>
      </c>
      <c r="AK51" s="58">
        <f t="shared" si="86"/>
        <v>0</v>
      </c>
      <c r="AL51" s="32">
        <f>SUMPRODUCT((D$47:AH$47=Параметры!F$3:F$21)*TEXT(SUBSTITUTE(D51:AH51,"н",),"0,00;;0;\0"))</f>
        <v>11</v>
      </c>
      <c r="AM51" s="39"/>
      <c r="AN51" s="32">
        <f>VLOOKUP(TEXT($T$45,"ММММ"),Параметры!A$3:J$14,10,0)</f>
        <v>151.19999999999999</v>
      </c>
    </row>
    <row r="52" spans="1:40" ht="30" customHeight="1" x14ac:dyDescent="0.2">
      <c r="A52" s="11">
        <f>Параметры!A30</f>
        <v>1912103</v>
      </c>
      <c r="B52" s="34">
        <f>Параметры!B30</f>
        <v>0</v>
      </c>
      <c r="C52" s="53" t="str">
        <f>Параметры!C30</f>
        <v>электроме-ханик</v>
      </c>
      <c r="D52" s="31"/>
      <c r="E52" s="31"/>
      <c r="F52" s="31"/>
      <c r="G52" s="31"/>
      <c r="H52" s="31"/>
      <c r="I52" s="31"/>
      <c r="J52" s="31"/>
      <c r="K52" s="31">
        <v>11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41">
        <f t="shared" si="84"/>
        <v>157</v>
      </c>
      <c r="AJ52" s="14">
        <f t="shared" si="85"/>
        <v>11</v>
      </c>
      <c r="AK52" s="58">
        <f t="shared" si="86"/>
        <v>0</v>
      </c>
      <c r="AL52" s="32">
        <f>SUMPRODUCT((D$47:AH$47=Параметры!F$3:F$21)*TEXT(SUBSTITUTE(D52:AH52,"н",),"0,00;;0;\0"))</f>
        <v>11</v>
      </c>
      <c r="AM52" s="39"/>
      <c r="AN52" s="32">
        <f>VLOOKUP(TEXT($T$45,"ММММ"),Параметры!A$3:J$14,9,0)</f>
        <v>168</v>
      </c>
    </row>
    <row r="53" spans="1:40" ht="30" customHeight="1" x14ac:dyDescent="0.2">
      <c r="A53" s="11">
        <f>Параметры!A31</f>
        <v>1912622</v>
      </c>
      <c r="B53" s="34">
        <f>Параметры!B31</f>
        <v>0</v>
      </c>
      <c r="C53" s="53" t="str">
        <f>Параметры!C31</f>
        <v>электро-монтер</v>
      </c>
      <c r="D53" s="31"/>
      <c r="E53" s="31"/>
      <c r="F53" s="31"/>
      <c r="G53" s="31"/>
      <c r="H53" s="31"/>
      <c r="I53" s="31"/>
      <c r="J53" s="31"/>
      <c r="K53" s="31">
        <v>11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41">
        <f t="shared" si="84"/>
        <v>157</v>
      </c>
      <c r="AJ53" s="14">
        <f t="shared" si="85"/>
        <v>11</v>
      </c>
      <c r="AK53" s="58">
        <f t="shared" si="86"/>
        <v>0</v>
      </c>
      <c r="AL53" s="32">
        <f>SUMPRODUCT((D$47:AH$47=Параметры!F$3:F$21)*TEXT(SUBSTITUTE(D53:AH53,"н",),"0,00;;0;\0"))</f>
        <v>11</v>
      </c>
      <c r="AM53" s="39"/>
      <c r="AN53" s="32">
        <f>VLOOKUP(TEXT($T$45,"ММММ"),Параметры!A$3:J$14,9,0)</f>
        <v>168</v>
      </c>
    </row>
    <row r="54" spans="1:40" ht="30" customHeight="1" x14ac:dyDescent="0.2">
      <c r="A54" s="11">
        <f>Параметры!A32</f>
        <v>1912114</v>
      </c>
      <c r="B54" s="34">
        <f>Параметры!B32</f>
        <v>0</v>
      </c>
      <c r="C54" s="53" t="str">
        <f>Параметры!C32</f>
        <v>электро-монтер</v>
      </c>
      <c r="D54" s="31"/>
      <c r="E54" s="31"/>
      <c r="F54" s="31"/>
      <c r="G54" s="31"/>
      <c r="H54" s="31"/>
      <c r="I54" s="31"/>
      <c r="J54" s="31"/>
      <c r="K54" s="31">
        <v>11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41">
        <f t="shared" si="84"/>
        <v>157</v>
      </c>
      <c r="AJ54" s="14">
        <f t="shared" si="85"/>
        <v>11</v>
      </c>
      <c r="AK54" s="58">
        <f t="shared" si="86"/>
        <v>0</v>
      </c>
      <c r="AL54" s="32">
        <f>SUMPRODUCT((D$47:AH$47=Параметры!F$3:F$21)*TEXT(SUBSTITUTE(D54:AH54,"н",),"0,00;;0;\0"))</f>
        <v>11</v>
      </c>
      <c r="AM54" s="39"/>
      <c r="AN54" s="32">
        <f>VLOOKUP(TEXT($T$45,"ММММ"),Параметры!A$3:J$14,9,0)</f>
        <v>168</v>
      </c>
    </row>
    <row r="55" spans="1:40" ht="30" customHeight="1" x14ac:dyDescent="0.2">
      <c r="A55" s="11">
        <f>Параметры!A33</f>
        <v>1925206</v>
      </c>
      <c r="B55" s="34">
        <f>Параметры!B33</f>
        <v>0</v>
      </c>
      <c r="C55" s="53" t="str">
        <f>Параметры!C33</f>
        <v>телефонист</v>
      </c>
      <c r="D55" s="31"/>
      <c r="E55" s="31"/>
      <c r="F55" s="31"/>
      <c r="G55" s="31"/>
      <c r="H55" s="31"/>
      <c r="I55" s="31"/>
      <c r="J55" s="31"/>
      <c r="K55" s="31">
        <v>11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41">
        <f t="shared" si="84"/>
        <v>140.19999999999999</v>
      </c>
      <c r="AJ55" s="14">
        <f t="shared" si="85"/>
        <v>11</v>
      </c>
      <c r="AK55" s="58">
        <f t="shared" si="86"/>
        <v>0</v>
      </c>
      <c r="AL55" s="32">
        <f>SUMPRODUCT((D$47:AH$47=Параметры!F$3:F$21)*TEXT(SUBSTITUTE(D55:AH55,"н",),"0,00;;0;\0"))</f>
        <v>11</v>
      </c>
      <c r="AM55" s="39"/>
      <c r="AN55" s="32">
        <f>VLOOKUP(TEXT($T$45,"ММММ"),Параметры!A$3:J$14,10,0)</f>
        <v>151.19999999999999</v>
      </c>
    </row>
    <row r="56" spans="1:40" ht="30" customHeight="1" x14ac:dyDescent="0.2">
      <c r="A56" s="11">
        <f>Параметры!A34</f>
        <v>1904059</v>
      </c>
      <c r="B56" s="34">
        <f>Параметры!B34</f>
        <v>0</v>
      </c>
      <c r="C56" s="53" t="str">
        <f>Параметры!C34</f>
        <v>инженер</v>
      </c>
      <c r="D56" s="31"/>
      <c r="E56" s="31"/>
      <c r="F56" s="31"/>
      <c r="G56" s="31"/>
      <c r="H56" s="31"/>
      <c r="I56" s="31"/>
      <c r="J56" s="31"/>
      <c r="K56" s="31">
        <v>11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41">
        <f t="shared" si="84"/>
        <v>157</v>
      </c>
      <c r="AJ56" s="14">
        <f t="shared" si="85"/>
        <v>11</v>
      </c>
      <c r="AK56" s="58">
        <f t="shared" si="86"/>
        <v>0</v>
      </c>
      <c r="AL56" s="32">
        <f>SUMPRODUCT((D$47:AH$47=Параметры!F$3:F$21)*TEXT(SUBSTITUTE(D56:AH56,"н",),"0,00;;0;\0"))</f>
        <v>11</v>
      </c>
      <c r="AM56" s="39"/>
      <c r="AN56" s="32">
        <f>VLOOKUP(TEXT($T$45,"ММММ"),Параметры!A$3:J$14,9,0)</f>
        <v>168</v>
      </c>
    </row>
    <row r="57" spans="1:40" ht="30" customHeight="1" x14ac:dyDescent="0.2">
      <c r="A57" s="11">
        <f>Параметры!A35</f>
        <v>1912510</v>
      </c>
      <c r="B57" s="34">
        <f>Параметры!B35</f>
        <v>0</v>
      </c>
      <c r="C57" s="53" t="str">
        <f>Параметры!C35</f>
        <v>электроме-ханик</v>
      </c>
      <c r="D57" s="31"/>
      <c r="E57" s="31"/>
      <c r="F57" s="31"/>
      <c r="G57" s="31"/>
      <c r="H57" s="31"/>
      <c r="I57" s="31"/>
      <c r="J57" s="31"/>
      <c r="K57" s="31">
        <v>11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41">
        <f t="shared" si="84"/>
        <v>157</v>
      </c>
      <c r="AJ57" s="14">
        <f t="shared" si="85"/>
        <v>11</v>
      </c>
      <c r="AK57" s="58">
        <f t="shared" si="86"/>
        <v>0</v>
      </c>
      <c r="AL57" s="32">
        <f>SUMPRODUCT((D$47:AH$47=Параметры!F$3:F$21)*TEXT(SUBSTITUTE(D57:AH57,"н",),"0,00;;0;\0"))</f>
        <v>11</v>
      </c>
      <c r="AM57" s="39"/>
      <c r="AN57" s="32">
        <f>VLOOKUP(TEXT($T$45,"ММММ"),Параметры!A$3:J$14,9,0)</f>
        <v>168</v>
      </c>
    </row>
    <row r="58" spans="1:40" ht="30" customHeight="1" x14ac:dyDescent="0.2">
      <c r="A58" s="11">
        <f>Параметры!A36</f>
        <v>1912130</v>
      </c>
      <c r="B58" s="34">
        <f>Параметры!B36</f>
        <v>0</v>
      </c>
      <c r="C58" s="53" t="str">
        <f>Параметры!C36</f>
        <v>электроме-ханик</v>
      </c>
      <c r="D58" s="31"/>
      <c r="E58" s="31"/>
      <c r="F58" s="31"/>
      <c r="G58" s="31"/>
      <c r="H58" s="31"/>
      <c r="I58" s="31"/>
      <c r="J58" s="31"/>
      <c r="K58" s="31">
        <v>11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41">
        <f t="shared" si="84"/>
        <v>157</v>
      </c>
      <c r="AJ58" s="14">
        <f t="shared" si="85"/>
        <v>11</v>
      </c>
      <c r="AK58" s="58">
        <f t="shared" si="86"/>
        <v>0</v>
      </c>
      <c r="AL58" s="32">
        <f>SUMPRODUCT((D$47:AH$47=Параметры!F$3:F$21)*TEXT(SUBSTITUTE(D58:AH58,"н",),"0,00;;0;\0"))</f>
        <v>11</v>
      </c>
      <c r="AM58" s="39"/>
      <c r="AN58" s="32">
        <f>VLOOKUP(TEXT($T$45,"ММММ"),Параметры!A$3:J$14,9,0)</f>
        <v>168</v>
      </c>
    </row>
    <row r="59" spans="1:40" ht="30" customHeight="1" x14ac:dyDescent="0.2">
      <c r="A59" s="11">
        <f>Параметры!A37</f>
        <v>1915704</v>
      </c>
      <c r="B59" s="34">
        <f>Параметры!B37</f>
        <v>0</v>
      </c>
      <c r="C59" s="53" t="str">
        <f>Параметры!C37</f>
        <v>электроме-ханик</v>
      </c>
      <c r="D59" s="31"/>
      <c r="E59" s="31"/>
      <c r="F59" s="31"/>
      <c r="G59" s="31"/>
      <c r="H59" s="31"/>
      <c r="I59" s="31"/>
      <c r="J59" s="31"/>
      <c r="K59" s="31">
        <v>11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41">
        <f t="shared" si="84"/>
        <v>157</v>
      </c>
      <c r="AJ59" s="14">
        <f t="shared" si="85"/>
        <v>11</v>
      </c>
      <c r="AK59" s="58">
        <f t="shared" si="86"/>
        <v>0</v>
      </c>
      <c r="AL59" s="32">
        <f>SUMPRODUCT((D$47:AH$47=Параметры!F$3:F$21)*TEXT(SUBSTITUTE(D59:AH59,"н",),"0,00;;0;\0"))</f>
        <v>11</v>
      </c>
      <c r="AM59" s="39"/>
      <c r="AN59" s="32">
        <f>VLOOKUP(TEXT($T$45,"ММММ"),Параметры!A$3:J$14,9,0)</f>
        <v>168</v>
      </c>
    </row>
    <row r="60" spans="1:40" ht="30" customHeight="1" x14ac:dyDescent="0.2">
      <c r="A60" s="11">
        <f>Параметры!A38</f>
        <v>1912044</v>
      </c>
      <c r="B60" s="34">
        <f>Параметры!B38</f>
        <v>0</v>
      </c>
      <c r="C60" s="53" t="str">
        <f>Параметры!C38</f>
        <v>электроме-ханик</v>
      </c>
      <c r="D60" s="31"/>
      <c r="E60" s="31"/>
      <c r="F60" s="31"/>
      <c r="G60" s="31"/>
      <c r="H60" s="31"/>
      <c r="I60" s="31"/>
      <c r="J60" s="31"/>
      <c r="K60" s="31">
        <v>11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41">
        <f t="shared" si="84"/>
        <v>140.19999999999999</v>
      </c>
      <c r="AJ60" s="14">
        <f t="shared" si="85"/>
        <v>11</v>
      </c>
      <c r="AK60" s="58">
        <f t="shared" si="86"/>
        <v>0</v>
      </c>
      <c r="AL60" s="32">
        <f>SUMPRODUCT((D$47:AH$47=Параметры!F$3:F$21)*TEXT(SUBSTITUTE(D60:AH60,"н",),"0,00;;0;\0"))</f>
        <v>11</v>
      </c>
      <c r="AM60" s="39"/>
      <c r="AN60" s="32">
        <f>VLOOKUP(TEXT($T$45,"ММММ"),Параметры!A$3:J$14,10,0)</f>
        <v>151.19999999999999</v>
      </c>
    </row>
    <row r="61" spans="1:40" ht="30" customHeight="1" x14ac:dyDescent="0.2">
      <c r="A61" s="11">
        <f>Параметры!A39</f>
        <v>1927879</v>
      </c>
      <c r="B61" s="34">
        <f>Параметры!B39</f>
        <v>0</v>
      </c>
      <c r="C61" s="53" t="str">
        <f>Параметры!C39</f>
        <v>электро-монтер</v>
      </c>
      <c r="D61" s="31"/>
      <c r="E61" s="31"/>
      <c r="F61" s="31"/>
      <c r="G61" s="31"/>
      <c r="H61" s="31"/>
      <c r="I61" s="31"/>
      <c r="J61" s="31"/>
      <c r="K61" s="31">
        <v>11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41">
        <f t="shared" si="84"/>
        <v>157</v>
      </c>
      <c r="AJ61" s="14">
        <f t="shared" si="85"/>
        <v>11</v>
      </c>
      <c r="AK61" s="58">
        <f t="shared" si="86"/>
        <v>0</v>
      </c>
      <c r="AL61" s="32">
        <f>SUMPRODUCT((D$47:AH$47=Параметры!F$3:F$21)*TEXT(SUBSTITUTE(D61:AH61,"н",),"0,00;;0;\0"))</f>
        <v>11</v>
      </c>
      <c r="AM61" s="39"/>
      <c r="AN61" s="32">
        <f>VLOOKUP(TEXT($T$45,"ММММ"),Параметры!A$3:J$14,9,0)</f>
        <v>168</v>
      </c>
    </row>
    <row r="62" spans="1:40" ht="30" customHeight="1" x14ac:dyDescent="0.2">
      <c r="A62" s="11">
        <f>Параметры!A40</f>
        <v>1912037</v>
      </c>
      <c r="B62" s="34">
        <f>Параметры!B40</f>
        <v>0</v>
      </c>
      <c r="C62" s="53" t="str">
        <f>Параметры!C40</f>
        <v>электро-монтер</v>
      </c>
      <c r="D62" s="31"/>
      <c r="E62" s="31"/>
      <c r="F62" s="31"/>
      <c r="G62" s="31"/>
      <c r="H62" s="31"/>
      <c r="I62" s="31"/>
      <c r="J62" s="31"/>
      <c r="K62" s="31">
        <v>11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41">
        <f t="shared" si="84"/>
        <v>157</v>
      </c>
      <c r="AJ62" s="14">
        <f t="shared" si="85"/>
        <v>11</v>
      </c>
      <c r="AK62" s="58">
        <f t="shared" si="86"/>
        <v>0</v>
      </c>
      <c r="AL62" s="32">
        <f>SUMPRODUCT((D$47:AH$47=Параметры!F$3:F$21)*TEXT(SUBSTITUTE(D62:AH62,"н",),"0,00;;0;\0"))</f>
        <v>11</v>
      </c>
      <c r="AM62" s="39"/>
      <c r="AN62" s="32">
        <f>VLOOKUP(TEXT($T$45,"ММММ"),Параметры!A$3:J$14,9,0)</f>
        <v>168</v>
      </c>
    </row>
    <row r="63" spans="1:40" ht="30" customHeight="1" x14ac:dyDescent="0.2">
      <c r="A63" s="11">
        <f>Параметры!A41</f>
        <v>1913850</v>
      </c>
      <c r="B63" s="34">
        <f>Параметры!B41</f>
        <v>0</v>
      </c>
      <c r="C63" s="53" t="str">
        <f>Параметры!C41</f>
        <v>телефонист</v>
      </c>
      <c r="D63" s="31"/>
      <c r="E63" s="31"/>
      <c r="F63" s="31"/>
      <c r="G63" s="31"/>
      <c r="H63" s="31"/>
      <c r="I63" s="31"/>
      <c r="J63" s="31"/>
      <c r="K63" s="31">
        <v>11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41">
        <f t="shared" si="84"/>
        <v>140.19999999999999</v>
      </c>
      <c r="AJ63" s="14">
        <f t="shared" si="85"/>
        <v>11</v>
      </c>
      <c r="AK63" s="58">
        <f t="shared" si="86"/>
        <v>0</v>
      </c>
      <c r="AL63" s="32">
        <f>SUMPRODUCT((D$47:AH$47=Параметры!F$3:F$21)*TEXT(SUBSTITUTE(D63:AH63,"н",),"0,00;;0;\0"))</f>
        <v>11</v>
      </c>
      <c r="AM63" s="39"/>
      <c r="AN63" s="32">
        <f>VLOOKUP(TEXT($T$45,"ММММ"),Параметры!A$3:J$14,10,0)</f>
        <v>151.19999999999999</v>
      </c>
    </row>
  </sheetData>
  <dataConsolidate/>
  <mergeCells count="20">
    <mergeCell ref="L2:Y2"/>
    <mergeCell ref="F1:G1"/>
    <mergeCell ref="C2:G2"/>
    <mergeCell ref="C3:G3"/>
    <mergeCell ref="A1:B1"/>
    <mergeCell ref="A2:B2"/>
    <mergeCell ref="A3:B3"/>
    <mergeCell ref="D1:E1"/>
    <mergeCell ref="M5:S5"/>
    <mergeCell ref="T5:V5"/>
    <mergeCell ref="W5:X5"/>
    <mergeCell ref="A24:AM24"/>
    <mergeCell ref="A4:AM4"/>
    <mergeCell ref="M25:S25"/>
    <mergeCell ref="T25:V25"/>
    <mergeCell ref="W25:X25"/>
    <mergeCell ref="M45:S45"/>
    <mergeCell ref="T45:V45"/>
    <mergeCell ref="W45:X45"/>
    <mergeCell ref="A44:AM44"/>
  </mergeCells>
  <conditionalFormatting sqref="D27:AH27">
    <cfRule type="expression" dxfId="12" priority="56">
      <formula>WEEKDAY(D$27,2)&gt;5</formula>
    </cfRule>
  </conditionalFormatting>
  <conditionalFormatting sqref="D47:AH47">
    <cfRule type="expression" dxfId="11" priority="38">
      <formula>WEEKDAY(D$47,2)&gt;5</formula>
    </cfRule>
  </conditionalFormatting>
  <conditionalFormatting sqref="D7:AH7">
    <cfRule type="expression" dxfId="10" priority="13">
      <formula>WEEKDAY(D$7,2)&gt;5</formula>
    </cfRule>
  </conditionalFormatting>
  <dataValidations count="2">
    <dataValidation showInputMessage="1" showErrorMessage="1" promptTitle="месяц" sqref="T5:V5 T25:V25 T45:V45"/>
    <dataValidation type="list" showInputMessage="1" showErrorMessage="1" promptTitle="год" sqref="W25:X25 W45:X45">
      <formula1>$C$3:$C$21</formula1>
    </dataValidation>
  </dataValidations>
  <hyperlinks>
    <hyperlink ref="C1" location="'На квартал'!A1" display="'На квартал'!A1"/>
    <hyperlink ref="D1" location="'На квартал'!A23" display="'На квартал'!A23"/>
    <hyperlink ref="F1" location="'На квартал'!A45" display="'На квартал'!A45"/>
  </hyperlinks>
  <printOptions verticalCentered="1"/>
  <pageMargins left="0.25" right="0.25" top="0.75" bottom="0.75" header="0.3" footer="0.3"/>
  <pageSetup paperSize="9" scale="54" fitToHeight="0" orientation="landscape" r:id="rId1"/>
  <headerFooter alignWithMargins="0"/>
  <rowBreaks count="2" manualBreakCount="2">
    <brk id="23" max="39" man="1"/>
    <brk id="43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8" stopIfTrue="1" id="{00000000-000E-0000-0000-000027000000}">
            <xm:f>ISNUMBER(MATCH(AI$7,Параметры!$F$3:$F$21,0))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AI7:AHE7</xm:sqref>
        </x14:conditionalFormatting>
        <x14:conditionalFormatting xmlns:xm="http://schemas.microsoft.com/office/excel/2006/main">
          <x14:cfRule type="expression" priority="54" id="{A752846D-DE72-44A9-B150-807A4ECA7AB5}">
            <xm:f>ISNUMBER(MATCH(D27,Параметры!$E$3:$E$21,0))</xm:f>
            <x14:dxf>
              <font>
                <b val="0"/>
                <i val="0"/>
                <strike val="0"/>
                <u val="none"/>
                <name val="Cambria"/>
                <scheme val="none"/>
              </font>
              <numFmt numFmtId="169" formatCode="d\*"/>
              <fill>
                <patternFill>
                  <bgColor rgb="FFFFFF99"/>
                </patternFill>
              </fill>
            </x14:dxf>
          </x14:cfRule>
          <x14:cfRule type="expression" priority="55" id="{36985D6E-58C5-4C3E-9957-371A9F4F9AA6}">
            <xm:f>ISNUMBER(MATCH(D27,Параметры!$F$3:$F$21,0))</xm:f>
            <x14:dxf>
              <font>
                <b val="0"/>
                <i val="0"/>
                <strike val="0"/>
                <name val="Cambria"/>
                <scheme val="none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8" id="{00000000-000E-0000-0000-000013000000}">
            <xm:f>ISNUMBER(MATCH(D$27,Параметры!$F$3:$F$21,0))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D27:AH27</xm:sqref>
        </x14:conditionalFormatting>
        <x14:conditionalFormatting xmlns:xm="http://schemas.microsoft.com/office/excel/2006/main">
          <x14:cfRule type="expression" priority="36" id="{F9CD5EB0-52DA-4710-81A5-EC706AC5619F}">
            <xm:f>ISNUMBER(MATCH(D47,Параметры!$E$3:$E$21,0))</xm:f>
            <x14:dxf>
              <font>
                <b val="0"/>
                <i val="0"/>
                <strike val="0"/>
                <u val="none"/>
                <name val="Cambria"/>
                <scheme val="none"/>
              </font>
              <numFmt numFmtId="169" formatCode="d\*"/>
              <fill>
                <patternFill>
                  <bgColor rgb="FFFFFF99"/>
                </patternFill>
              </fill>
            </x14:dxf>
          </x14:cfRule>
          <x14:cfRule type="expression" priority="37" id="{3AF38F9F-3D4E-46D0-970D-B2D05E011267}">
            <xm:f>ISNUMBER(MATCH(D47,Параметры!$F$3:$F$21,0))</xm:f>
            <x14:dxf>
              <font>
                <b val="0"/>
                <i val="0"/>
                <strike val="0"/>
                <name val="Cambria"/>
                <scheme val="none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9" id="{FAEC75FF-1E1A-4CD6-A7D5-9EE98DBC9D63}">
            <xm:f>ISNUMBER(MATCH(D$47,Параметры!$F$3:$F$21,0))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D47:AH47</xm:sqref>
        </x14:conditionalFormatting>
        <x14:conditionalFormatting xmlns:xm="http://schemas.microsoft.com/office/excel/2006/main">
          <x14:cfRule type="expression" priority="11" id="{50C8ECEB-5A03-4988-B701-307EE3DF72ED}">
            <xm:f>ISNUMBER(MATCH(D7,Параметры!$E$3:$E$21,0))</xm:f>
            <x14:dxf>
              <font>
                <b val="0"/>
                <i val="0"/>
                <strike val="0"/>
                <u val="none"/>
                <name val="Cambria"/>
                <scheme val="none"/>
              </font>
              <numFmt numFmtId="169" formatCode="d\*"/>
              <fill>
                <patternFill>
                  <bgColor rgb="FFFFFF99"/>
                </patternFill>
              </fill>
            </x14:dxf>
          </x14:cfRule>
          <x14:cfRule type="expression" priority="12" id="{F00AE95D-DCDB-4E61-831B-7EB06659A291}">
            <xm:f>ISNUMBER(MATCH(D7,Параметры!$F$3:$F$21,0))</xm:f>
            <x14:dxf>
              <font>
                <b val="0"/>
                <i val="0"/>
                <strike val="0"/>
                <name val="Cambria"/>
                <scheme val="none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" id="{F0486A1A-BA52-4F5F-A7C4-BEC8861EEC94}">
            <xm:f>ISNUMBER(MATCH(D$7,Параметры!$F$3:$F$21,0))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D7:AH7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год">
          <x14:formula1>
            <xm:f>Параметры!$C$3:$C$21</xm:f>
          </x14:formula1>
          <xm:sqref>W5:X5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1"/>
  <sheetViews>
    <sheetView zoomScale="70" zoomScaleNormal="70" workbookViewId="0">
      <selection activeCell="G5" sqref="G5"/>
    </sheetView>
  </sheetViews>
  <sheetFormatPr defaultRowHeight="12.75" x14ac:dyDescent="0.2"/>
  <cols>
    <col min="1" max="1" width="12.5703125" customWidth="1"/>
    <col min="2" max="2" width="19.140625" customWidth="1"/>
    <col min="3" max="3" width="12.42578125" customWidth="1"/>
    <col min="4" max="4" width="17.7109375" customWidth="1"/>
    <col min="5" max="5" width="20.28515625" customWidth="1"/>
    <col min="6" max="6" width="17.28515625" customWidth="1"/>
    <col min="7" max="7" width="17.85546875" customWidth="1"/>
    <col min="8" max="8" width="17.140625" customWidth="1"/>
    <col min="13" max="13" width="15.28515625" customWidth="1"/>
  </cols>
  <sheetData>
    <row r="1" spans="1:10" ht="28.9" customHeight="1" x14ac:dyDescent="0.2">
      <c r="A1" s="93" t="s">
        <v>42</v>
      </c>
      <c r="B1" s="93"/>
      <c r="C1" s="93"/>
      <c r="D1" s="93"/>
      <c r="E1" s="93"/>
      <c r="F1" s="93"/>
      <c r="G1" s="93"/>
      <c r="H1" s="93"/>
      <c r="I1" s="93"/>
      <c r="J1" s="8" t="b">
        <f>ISNUMBER(MATCH(График!D7,$E$3:$E$21,0))</f>
        <v>0</v>
      </c>
    </row>
    <row r="2" spans="1:10" ht="48.75" customHeight="1" x14ac:dyDescent="0.2">
      <c r="A2" s="46" t="s">
        <v>4</v>
      </c>
      <c r="B2" s="46" t="s">
        <v>5</v>
      </c>
      <c r="C2" s="46" t="s">
        <v>6</v>
      </c>
      <c r="D2" s="46" t="s">
        <v>7</v>
      </c>
      <c r="E2" s="69" t="s">
        <v>8</v>
      </c>
      <c r="F2" s="66" t="s">
        <v>9</v>
      </c>
      <c r="G2" s="76" t="s">
        <v>10</v>
      </c>
      <c r="H2" s="72" t="s">
        <v>11</v>
      </c>
      <c r="I2" s="46" t="s">
        <v>12</v>
      </c>
      <c r="J2" s="46" t="s">
        <v>13</v>
      </c>
    </row>
    <row r="3" spans="1:10" ht="15" customHeight="1" x14ac:dyDescent="0.2">
      <c r="A3" s="60">
        <v>1</v>
      </c>
      <c r="B3" s="60">
        <v>2</v>
      </c>
      <c r="C3" s="60">
        <v>3</v>
      </c>
      <c r="D3" s="60">
        <v>4</v>
      </c>
      <c r="E3" s="70">
        <v>5</v>
      </c>
      <c r="F3" s="67">
        <v>6</v>
      </c>
      <c r="G3" s="77">
        <v>7</v>
      </c>
      <c r="H3" s="73">
        <v>8</v>
      </c>
      <c r="I3" s="60">
        <v>9</v>
      </c>
      <c r="J3" s="60">
        <v>10</v>
      </c>
    </row>
    <row r="4" spans="1:10" ht="20.100000000000001" customHeight="1" x14ac:dyDescent="0.2">
      <c r="A4" s="16" t="s">
        <v>14</v>
      </c>
      <c r="B4" s="16">
        <v>1</v>
      </c>
      <c r="C4" s="16">
        <v>2014</v>
      </c>
      <c r="D4" s="16" t="s">
        <v>15</v>
      </c>
      <c r="E4" s="71"/>
      <c r="F4" s="68">
        <v>43831</v>
      </c>
      <c r="G4" s="78">
        <v>43852</v>
      </c>
      <c r="H4" s="75">
        <v>43848</v>
      </c>
      <c r="I4" s="17">
        <v>136</v>
      </c>
      <c r="J4" s="17">
        <v>122.4</v>
      </c>
    </row>
    <row r="5" spans="1:10" ht="20.100000000000001" customHeight="1" x14ac:dyDescent="0.2">
      <c r="A5" s="16" t="s">
        <v>16</v>
      </c>
      <c r="B5" s="16">
        <v>2</v>
      </c>
      <c r="C5" s="16">
        <v>2015</v>
      </c>
      <c r="D5" s="16" t="s">
        <v>15</v>
      </c>
      <c r="E5" s="71"/>
      <c r="F5" s="68">
        <v>43832</v>
      </c>
      <c r="G5" s="78"/>
      <c r="H5" s="74"/>
      <c r="I5" s="17">
        <v>152</v>
      </c>
      <c r="J5" s="17">
        <v>136.80000000000001</v>
      </c>
    </row>
    <row r="6" spans="1:10" ht="20.100000000000001" customHeight="1" x14ac:dyDescent="0.2">
      <c r="A6" s="47" t="s">
        <v>17</v>
      </c>
      <c r="B6" s="47">
        <v>3</v>
      </c>
      <c r="C6" s="47">
        <v>2016</v>
      </c>
      <c r="D6" s="47" t="s">
        <v>15</v>
      </c>
      <c r="E6" s="71"/>
      <c r="F6" s="68">
        <v>43833</v>
      </c>
      <c r="G6" s="78"/>
      <c r="H6" s="74"/>
      <c r="I6" s="48">
        <v>168</v>
      </c>
      <c r="J6" s="48">
        <v>151.19999999999999</v>
      </c>
    </row>
    <row r="7" spans="1:10" ht="20.100000000000001" customHeight="1" x14ac:dyDescent="0.2">
      <c r="A7" s="47" t="s">
        <v>18</v>
      </c>
      <c r="B7" s="47">
        <v>4</v>
      </c>
      <c r="C7" s="47">
        <v>2017</v>
      </c>
      <c r="D7" s="47" t="s">
        <v>15</v>
      </c>
      <c r="E7" s="71"/>
      <c r="F7" s="68">
        <v>43834</v>
      </c>
      <c r="G7" s="78"/>
      <c r="H7" s="74"/>
      <c r="I7" s="48">
        <v>175</v>
      </c>
      <c r="J7" s="48">
        <v>157.4</v>
      </c>
    </row>
    <row r="8" spans="1:10" ht="20.100000000000001" customHeight="1" x14ac:dyDescent="0.2">
      <c r="A8" s="47" t="s">
        <v>0</v>
      </c>
      <c r="B8" s="47">
        <v>5</v>
      </c>
      <c r="C8" s="47">
        <v>2018</v>
      </c>
      <c r="D8" s="47" t="s">
        <v>15</v>
      </c>
      <c r="E8" s="71"/>
      <c r="F8" s="68">
        <v>43835</v>
      </c>
      <c r="G8" s="78"/>
      <c r="H8" s="74"/>
      <c r="I8" s="48">
        <v>135</v>
      </c>
      <c r="J8" s="48">
        <v>121.4</v>
      </c>
    </row>
    <row r="9" spans="1:10" ht="20.100000000000001" customHeight="1" x14ac:dyDescent="0.2">
      <c r="A9" s="16" t="s">
        <v>19</v>
      </c>
      <c r="B9" s="16">
        <v>6</v>
      </c>
      <c r="C9" s="16">
        <v>2019</v>
      </c>
      <c r="D9" s="16" t="s">
        <v>15</v>
      </c>
      <c r="E9" s="71"/>
      <c r="F9" s="68">
        <v>43836</v>
      </c>
      <c r="G9" s="78"/>
      <c r="H9" s="74"/>
      <c r="I9" s="17">
        <v>167</v>
      </c>
      <c r="J9" s="17">
        <v>150.19999999999999</v>
      </c>
    </row>
    <row r="10" spans="1:10" ht="20.100000000000001" customHeight="1" x14ac:dyDescent="0.2">
      <c r="A10" s="16" t="s">
        <v>20</v>
      </c>
      <c r="B10" s="16">
        <v>7</v>
      </c>
      <c r="C10" s="16">
        <v>2020</v>
      </c>
      <c r="D10" s="16" t="s">
        <v>21</v>
      </c>
      <c r="E10" s="71"/>
      <c r="F10" s="68">
        <v>43837</v>
      </c>
      <c r="G10" s="78"/>
      <c r="H10" s="74"/>
      <c r="I10" s="17">
        <v>184</v>
      </c>
      <c r="J10" s="17">
        <v>165.6</v>
      </c>
    </row>
    <row r="11" spans="1:10" ht="20.100000000000001" customHeight="1" x14ac:dyDescent="0.2">
      <c r="A11" s="16" t="s">
        <v>22</v>
      </c>
      <c r="B11" s="16">
        <v>8</v>
      </c>
      <c r="C11" s="16">
        <v>2021</v>
      </c>
      <c r="D11" s="16" t="s">
        <v>15</v>
      </c>
      <c r="E11" s="71"/>
      <c r="F11" s="68">
        <v>43838</v>
      </c>
      <c r="G11" s="78"/>
      <c r="H11" s="74"/>
      <c r="I11" s="17">
        <v>168</v>
      </c>
      <c r="J11" s="17">
        <v>151.19999999999999</v>
      </c>
    </row>
    <row r="12" spans="1:10" ht="20.100000000000001" customHeight="1" x14ac:dyDescent="0.2">
      <c r="A12" s="16" t="s">
        <v>23</v>
      </c>
      <c r="B12" s="16">
        <v>9</v>
      </c>
      <c r="C12" s="16">
        <v>2022</v>
      </c>
      <c r="D12" s="16" t="s">
        <v>24</v>
      </c>
      <c r="E12" s="71"/>
      <c r="F12" s="68">
        <v>43884</v>
      </c>
      <c r="G12" s="78">
        <v>43885</v>
      </c>
      <c r="H12" s="74"/>
      <c r="I12" s="17">
        <v>176</v>
      </c>
      <c r="J12" s="17">
        <v>158.4</v>
      </c>
    </row>
    <row r="13" spans="1:10" ht="20.100000000000001" customHeight="1" x14ac:dyDescent="0.2">
      <c r="A13" s="16" t="s">
        <v>25</v>
      </c>
      <c r="B13" s="16">
        <v>10</v>
      </c>
      <c r="C13" s="16">
        <v>2023</v>
      </c>
      <c r="D13" s="16" t="s">
        <v>26</v>
      </c>
      <c r="E13" s="71"/>
      <c r="F13" s="68">
        <v>43898</v>
      </c>
      <c r="G13" s="78">
        <v>43899</v>
      </c>
      <c r="H13" s="74"/>
      <c r="I13" s="17">
        <v>176</v>
      </c>
      <c r="J13" s="17">
        <v>158.4</v>
      </c>
    </row>
    <row r="14" spans="1:10" ht="20.100000000000001" customHeight="1" x14ac:dyDescent="0.2">
      <c r="A14" s="16" t="s">
        <v>27</v>
      </c>
      <c r="B14" s="16">
        <v>11</v>
      </c>
      <c r="C14" s="16">
        <v>2024</v>
      </c>
      <c r="D14" s="16" t="s">
        <v>26</v>
      </c>
      <c r="E14" s="71"/>
      <c r="F14" s="68"/>
      <c r="G14" s="78"/>
      <c r="H14" s="74"/>
      <c r="I14" s="17">
        <v>159</v>
      </c>
      <c r="J14" s="17">
        <v>143</v>
      </c>
    </row>
    <row r="15" spans="1:10" ht="20.100000000000001" customHeight="1" x14ac:dyDescent="0.2">
      <c r="A15" s="16" t="s">
        <v>28</v>
      </c>
      <c r="B15" s="16">
        <v>12</v>
      </c>
      <c r="C15" s="16">
        <v>2025</v>
      </c>
      <c r="D15" s="16"/>
      <c r="E15" s="71">
        <v>43951</v>
      </c>
      <c r="F15" s="68"/>
      <c r="G15" s="78"/>
      <c r="H15" s="75"/>
      <c r="I15" s="17">
        <v>183</v>
      </c>
      <c r="J15" s="17">
        <v>164.6</v>
      </c>
    </row>
    <row r="16" spans="1:10" ht="20.100000000000001" customHeight="1" x14ac:dyDescent="0.2">
      <c r="A16" s="47"/>
      <c r="B16" s="47"/>
      <c r="C16" s="47"/>
      <c r="D16" s="47" t="s">
        <v>29</v>
      </c>
      <c r="E16" s="71"/>
      <c r="F16" s="68">
        <v>43952</v>
      </c>
      <c r="G16" s="78">
        <v>43955</v>
      </c>
      <c r="H16" s="74"/>
      <c r="I16" s="14"/>
      <c r="J16" s="14"/>
    </row>
    <row r="17" spans="1:13" ht="20.100000000000001" customHeight="1" x14ac:dyDescent="0.2">
      <c r="A17" s="47"/>
      <c r="B17" s="47"/>
      <c r="C17" s="47"/>
      <c r="D17" s="47" t="s">
        <v>29</v>
      </c>
      <c r="E17" s="71"/>
      <c r="F17" s="68"/>
      <c r="G17" s="78">
        <v>43956</v>
      </c>
      <c r="H17" s="74"/>
      <c r="I17" s="14"/>
      <c r="J17" s="14"/>
    </row>
    <row r="18" spans="1:13" ht="20.100000000000001" customHeight="1" x14ac:dyDescent="0.2">
      <c r="A18" s="47"/>
      <c r="B18" s="47"/>
      <c r="C18" s="47"/>
      <c r="D18" s="47" t="s">
        <v>30</v>
      </c>
      <c r="E18" s="71">
        <v>43959</v>
      </c>
      <c r="F18" s="68">
        <v>43960</v>
      </c>
      <c r="G18" s="78">
        <v>43962</v>
      </c>
      <c r="H18" s="74"/>
      <c r="I18" s="14"/>
      <c r="J18" s="14"/>
    </row>
    <row r="19" spans="1:13" ht="20.100000000000001" customHeight="1" x14ac:dyDescent="0.2">
      <c r="A19" s="16"/>
      <c r="B19" s="16"/>
      <c r="C19" s="16"/>
      <c r="D19" s="16" t="s">
        <v>31</v>
      </c>
      <c r="E19" s="71"/>
      <c r="F19" s="68"/>
      <c r="G19" s="78"/>
      <c r="H19" s="74"/>
      <c r="I19" s="18"/>
      <c r="J19" s="18"/>
    </row>
    <row r="20" spans="1:13" ht="20.100000000000001" customHeight="1" x14ac:dyDescent="0.2">
      <c r="A20" s="16"/>
      <c r="B20" s="16"/>
      <c r="C20" s="16"/>
      <c r="D20" s="16" t="s">
        <v>31</v>
      </c>
      <c r="E20" s="71">
        <v>43993</v>
      </c>
      <c r="F20" s="68">
        <v>43994</v>
      </c>
      <c r="G20" s="78"/>
      <c r="H20" s="74"/>
      <c r="I20" s="18"/>
      <c r="J20" s="18"/>
    </row>
    <row r="21" spans="1:13" ht="20.100000000000001" customHeight="1" x14ac:dyDescent="0.2">
      <c r="A21" s="16"/>
      <c r="B21" s="16"/>
      <c r="C21" s="16"/>
      <c r="D21" s="16" t="s">
        <v>32</v>
      </c>
      <c r="E21" s="71">
        <v>44138</v>
      </c>
      <c r="F21" s="68">
        <v>44139</v>
      </c>
      <c r="G21" s="78"/>
      <c r="H21" s="74"/>
      <c r="I21" s="18"/>
      <c r="J21" s="18"/>
    </row>
    <row r="22" spans="1:13" ht="20.100000000000001" customHeight="1" x14ac:dyDescent="0.2">
      <c r="A22" s="16"/>
      <c r="B22" s="16"/>
      <c r="C22" s="16"/>
      <c r="D22" s="16" t="s">
        <v>15</v>
      </c>
      <c r="E22" s="71">
        <v>44196</v>
      </c>
      <c r="F22" s="68"/>
      <c r="G22" s="78"/>
      <c r="H22" s="74"/>
      <c r="I22" s="18"/>
      <c r="J22" s="18"/>
    </row>
    <row r="23" spans="1:13" ht="45" customHeight="1" x14ac:dyDescent="0.2">
      <c r="A23" s="64"/>
      <c r="B23" s="64"/>
      <c r="C23" s="64"/>
      <c r="D23" s="64"/>
      <c r="E23" s="61"/>
      <c r="F23" s="61"/>
      <c r="G23" s="61"/>
      <c r="H23" s="62"/>
      <c r="I23" s="63"/>
      <c r="J23" s="63"/>
    </row>
    <row r="24" spans="1:13" ht="36" customHeight="1" x14ac:dyDescent="0.2">
      <c r="A24" s="44" t="s">
        <v>56</v>
      </c>
      <c r="B24" s="45" t="s">
        <v>33</v>
      </c>
      <c r="C24" s="65" t="s">
        <v>55</v>
      </c>
      <c r="D24" s="45" t="s">
        <v>34</v>
      </c>
      <c r="E24" s="45" t="s">
        <v>35</v>
      </c>
      <c r="F24" s="44" t="s">
        <v>36</v>
      </c>
    </row>
    <row r="25" spans="1:13" ht="15" customHeight="1" x14ac:dyDescent="0.2">
      <c r="A25" s="60">
        <v>1</v>
      </c>
      <c r="B25" s="60">
        <v>2</v>
      </c>
      <c r="C25" s="60">
        <v>3</v>
      </c>
      <c r="D25" s="60">
        <v>4</v>
      </c>
      <c r="E25" s="60">
        <v>5</v>
      </c>
      <c r="F25" s="60">
        <v>6</v>
      </c>
      <c r="H25" s="35"/>
      <c r="M25" s="20"/>
    </row>
    <row r="26" spans="1:13" ht="30" customHeight="1" x14ac:dyDescent="0.2">
      <c r="A26" s="11">
        <v>1902910</v>
      </c>
      <c r="B26" s="12"/>
      <c r="C26" s="42" t="s">
        <v>45</v>
      </c>
      <c r="D26" s="59">
        <v>43845</v>
      </c>
      <c r="E26" s="37">
        <v>52</v>
      </c>
      <c r="F26" s="38">
        <f t="array" ref="F26">IF(D26="","",SMALL(IF(ISNA(MATCH(ROW(INDEX(A:A,D26):INDEX(A:A,D26+E26+9)),F$3:F$21,)),ROW(INDEX(A:A,D26):INDEX(A:A,D26+E26+9))),E26))</f>
        <v>43897</v>
      </c>
      <c r="H26" s="36">
        <v>43990</v>
      </c>
      <c r="M26" s="21"/>
    </row>
    <row r="27" spans="1:13" ht="30" customHeight="1" x14ac:dyDescent="0.2">
      <c r="A27" s="11">
        <v>1904068</v>
      </c>
      <c r="B27" s="50"/>
      <c r="C27" s="42" t="s">
        <v>37</v>
      </c>
      <c r="D27" s="59">
        <v>44119</v>
      </c>
      <c r="E27" s="37">
        <v>52</v>
      </c>
      <c r="F27" s="38">
        <f t="array" ref="F27">IF(D27="","",SMALL(IF(ISNA(MATCH(ROW(INDEX(A:A,D27):INDEX(A:A,D27+E27+9)),F$3:F$21,)),ROW(INDEX(A:A,D27):INDEX(A:A,D27+E27+9))),E27))</f>
        <v>44171</v>
      </c>
      <c r="H27" s="36"/>
      <c r="M27" s="21"/>
    </row>
    <row r="28" spans="1:13" ht="30" customHeight="1" x14ac:dyDescent="0.2">
      <c r="A28" s="11">
        <v>1915436</v>
      </c>
      <c r="B28" s="12"/>
      <c r="C28" s="43" t="s">
        <v>44</v>
      </c>
      <c r="D28" s="59">
        <v>44089</v>
      </c>
      <c r="E28" s="37">
        <v>44</v>
      </c>
      <c r="F28" s="38">
        <f t="array" ref="F28">IF(D28="","",SMALL(IF(ISNA(MATCH(ROW(INDEX(A:A,D28):INDEX(A:A,D28+E28+9)),F$3:F$21,)),ROW(INDEX(A:A,D28):INDEX(A:A,D28+E28+9))),E28))</f>
        <v>44132</v>
      </c>
      <c r="H28" s="36"/>
      <c r="M28" s="21"/>
    </row>
    <row r="29" spans="1:13" ht="30" customHeight="1" x14ac:dyDescent="0.2">
      <c r="A29" s="11">
        <v>1912045</v>
      </c>
      <c r="B29" s="12"/>
      <c r="C29" s="43" t="s">
        <v>44</v>
      </c>
      <c r="D29" s="59">
        <v>43905</v>
      </c>
      <c r="E29" s="37">
        <v>52</v>
      </c>
      <c r="F29" s="38">
        <f t="array" ref="F29">IF(D29="","",SMALL(IF(ISNA(MATCH(ROW(INDEX(A:A,D29):INDEX(A:A,D29+E29+9)),F$3:F$21,)),ROW(INDEX(A:A,D29):INDEX(A:A,D29+E29+9))),E29))</f>
        <v>43957</v>
      </c>
      <c r="H29" s="36"/>
      <c r="M29" s="21"/>
    </row>
    <row r="30" spans="1:13" ht="30" customHeight="1" x14ac:dyDescent="0.2">
      <c r="A30" s="49">
        <v>1912103</v>
      </c>
      <c r="B30" s="51"/>
      <c r="C30" s="43" t="s">
        <v>44</v>
      </c>
      <c r="D30" s="59">
        <v>44027</v>
      </c>
      <c r="E30" s="37">
        <v>52</v>
      </c>
      <c r="F30" s="38">
        <f t="array" ref="F30">IF(D30="","",SMALL(IF(ISNA(MATCH(ROW(INDEX(A:A,D30):INDEX(A:A,D30+E30+9)),F$3:F$21,)),ROW(INDEX(A:A,D30):INDEX(A:A,D30+E30+9))),E30))</f>
        <v>44078</v>
      </c>
      <c r="H30" s="36"/>
      <c r="M30" s="21"/>
    </row>
    <row r="31" spans="1:13" ht="30" customHeight="1" x14ac:dyDescent="0.2">
      <c r="A31" s="49">
        <v>1912622</v>
      </c>
      <c r="B31" s="12"/>
      <c r="C31" s="43" t="s">
        <v>46</v>
      </c>
      <c r="D31" s="59">
        <v>43936</v>
      </c>
      <c r="E31" s="37">
        <v>52</v>
      </c>
      <c r="F31" s="38">
        <f t="array" ref="F31">IF(D31="","",SMALL(IF(ISNA(MATCH(ROW(INDEX(A:A,D31):INDEX(A:A,D31+E31+9)),F$3:F$21,)),ROW(INDEX(A:A,D31):INDEX(A:A,D31+E31+9))),E31))</f>
        <v>43989</v>
      </c>
      <c r="H31" s="36"/>
      <c r="M31" s="21"/>
    </row>
    <row r="32" spans="1:13" ht="30" customHeight="1" x14ac:dyDescent="0.2">
      <c r="A32" s="49">
        <v>1912114</v>
      </c>
      <c r="B32" s="12"/>
      <c r="C32" s="43" t="s">
        <v>46</v>
      </c>
      <c r="D32" s="59">
        <v>43997</v>
      </c>
      <c r="E32" s="37">
        <v>52</v>
      </c>
      <c r="F32" s="38">
        <f t="array" ref="F32">IF(D32="","",SMALL(IF(ISNA(MATCH(ROW(INDEX(A:A,D32):INDEX(A:A,D32+E32+9)),F$3:F$21,)),ROW(INDEX(A:A,D32):INDEX(A:A,D32+E32+9))),E32))</f>
        <v>44048</v>
      </c>
      <c r="H32" s="36"/>
      <c r="M32" s="21"/>
    </row>
    <row r="33" spans="1:13" ht="30" customHeight="1" x14ac:dyDescent="0.2">
      <c r="A33" s="49">
        <v>1925206</v>
      </c>
      <c r="B33" s="51"/>
      <c r="C33" s="42" t="s">
        <v>47</v>
      </c>
      <c r="D33" s="59">
        <v>43966</v>
      </c>
      <c r="E33" s="37">
        <v>52</v>
      </c>
      <c r="F33" s="38">
        <f t="array" ref="F33">IF(D33="","",SMALL(IF(ISNA(MATCH(ROW(INDEX(A:A,D33):INDEX(A:A,D33+E33+9)),F$3:F$21,)),ROW(INDEX(A:A,D33):INDEX(A:A,D33+E33+9))),E33))</f>
        <v>44018</v>
      </c>
      <c r="H33" s="36"/>
      <c r="M33" s="21"/>
    </row>
    <row r="34" spans="1:13" ht="30" customHeight="1" x14ac:dyDescent="0.2">
      <c r="A34" s="11">
        <v>1904059</v>
      </c>
      <c r="B34" s="12"/>
      <c r="C34" s="42" t="s">
        <v>37</v>
      </c>
      <c r="D34" s="59">
        <v>44035</v>
      </c>
      <c r="E34" s="37">
        <v>52</v>
      </c>
      <c r="F34" s="38">
        <f t="array" ref="F34">IF(D34="","",SMALL(IF(ISNA(MATCH(ROW(INDEX(A:A,D34):INDEX(A:A,D34+E34+9)),F$3:F$21,)),ROW(INDEX(A:A,D34):INDEX(A:A,D34+E34+9))),E34))</f>
        <v>44086</v>
      </c>
      <c r="H34" s="36"/>
      <c r="M34" s="21"/>
    </row>
    <row r="35" spans="1:13" ht="30" customHeight="1" x14ac:dyDescent="0.2">
      <c r="A35" s="11">
        <v>1912510</v>
      </c>
      <c r="B35" s="12"/>
      <c r="C35" s="43" t="s">
        <v>44</v>
      </c>
      <c r="D35" s="59">
        <v>43952</v>
      </c>
      <c r="E35" s="37">
        <v>52</v>
      </c>
      <c r="F35" s="38">
        <f t="array" ref="F35">IF(D35="","",SMALL(IF(ISNA(MATCH(ROW(INDEX(A:A,D35):INDEX(A:A,D35+E35+9)),F$3:F$21,)),ROW(INDEX(A:A,D35):INDEX(A:A,D35+E35+9))),E35))</f>
        <v>44006</v>
      </c>
      <c r="H35" s="36"/>
    </row>
    <row r="36" spans="1:13" ht="30" customHeight="1" x14ac:dyDescent="0.2">
      <c r="A36" s="11">
        <v>1912130</v>
      </c>
      <c r="B36" s="12"/>
      <c r="C36" s="43" t="s">
        <v>44</v>
      </c>
      <c r="D36" s="59">
        <v>44013</v>
      </c>
      <c r="E36" s="37">
        <v>52</v>
      </c>
      <c r="F36" s="38">
        <f t="array" ref="F36">IF(D36="","",SMALL(IF(ISNA(MATCH(ROW(INDEX(A:A,D36):INDEX(A:A,D36+E36+9)),F$3:F$21,)),ROW(INDEX(A:A,D36):INDEX(A:A,D36+E36+9))),E36))</f>
        <v>44064</v>
      </c>
      <c r="H36" s="36"/>
    </row>
    <row r="37" spans="1:13" ht="30" customHeight="1" x14ac:dyDescent="0.2">
      <c r="A37" s="11">
        <v>1915704</v>
      </c>
      <c r="B37" s="12"/>
      <c r="C37" s="43" t="s">
        <v>44</v>
      </c>
      <c r="D37" s="59">
        <v>44136</v>
      </c>
      <c r="E37" s="37">
        <v>52</v>
      </c>
      <c r="F37" s="38">
        <f t="array" ref="F37">IF(D37="","",SMALL(IF(ISNA(MATCH(ROW(INDEX(A:A,D37):INDEX(A:A,D37+E37+9)),F$3:F$21,)),ROW(INDEX(A:A,D37):INDEX(A:A,D37+E37+9))),E37))</f>
        <v>44188</v>
      </c>
      <c r="H37" s="36"/>
    </row>
    <row r="38" spans="1:13" ht="30" customHeight="1" x14ac:dyDescent="0.2">
      <c r="A38" s="11">
        <v>1912044</v>
      </c>
      <c r="B38" s="12"/>
      <c r="C38" s="43" t="s">
        <v>44</v>
      </c>
      <c r="D38" s="59">
        <v>44013</v>
      </c>
      <c r="E38" s="37">
        <v>49</v>
      </c>
      <c r="F38" s="38">
        <f t="array" ref="F38">IF(D38="","",SMALL(IF(ISNA(MATCH(ROW(INDEX(A:A,D38):INDEX(A:A,D38+E38+9)),F$3:F$21,)),ROW(INDEX(A:A,D38):INDEX(A:A,D38+E38+9))),E38))</f>
        <v>44061</v>
      </c>
      <c r="H38" s="36"/>
    </row>
    <row r="39" spans="1:13" ht="30" customHeight="1" x14ac:dyDescent="0.2">
      <c r="A39" s="49">
        <v>1927879</v>
      </c>
      <c r="B39" s="12"/>
      <c r="C39" s="43" t="s">
        <v>46</v>
      </c>
      <c r="D39" s="59">
        <v>43983</v>
      </c>
      <c r="E39" s="37">
        <v>30</v>
      </c>
      <c r="F39" s="38">
        <f t="array" ref="F39">IF(D39="","",SMALL(IF(ISNA(MATCH(ROW(INDEX(A:A,D39):INDEX(A:A,D39+E39+9)),F$3:F$21,)),ROW(INDEX(A:A,D39):INDEX(A:A,D39+E39+9))),E39))</f>
        <v>44013</v>
      </c>
      <c r="H39" s="36"/>
    </row>
    <row r="40" spans="1:13" ht="30" customHeight="1" x14ac:dyDescent="0.2">
      <c r="A40" s="11">
        <v>1912037</v>
      </c>
      <c r="B40" s="12"/>
      <c r="C40" s="43" t="s">
        <v>46</v>
      </c>
      <c r="D40" s="59">
        <v>44075</v>
      </c>
      <c r="E40" s="37">
        <v>52</v>
      </c>
      <c r="F40" s="38">
        <f t="array" ref="F40">IF(D40="","",SMALL(IF(ISNA(MATCH(ROW(INDEX(A:A,D40):INDEX(A:A,D40+E40+9)),F$3:F$21,)),ROW(INDEX(A:A,D40):INDEX(A:A,D40+E40+9))),E40))</f>
        <v>44126</v>
      </c>
      <c r="H40" s="36"/>
    </row>
    <row r="41" spans="1:13" ht="30" customHeight="1" x14ac:dyDescent="0.2">
      <c r="A41" s="11">
        <v>1913850</v>
      </c>
      <c r="B41" s="12"/>
      <c r="C41" s="42" t="s">
        <v>47</v>
      </c>
      <c r="D41" s="59">
        <v>44075</v>
      </c>
      <c r="E41" s="37">
        <v>52</v>
      </c>
      <c r="F41" s="38">
        <f t="array" ref="F41">IF(D41="","",SMALL(IF(ISNA(MATCH(ROW(INDEX(A:A,D41):INDEX(A:A,D41+E41+9)),F$3:F$21,)),ROW(INDEX(A:A,D41):INDEX(A:A,D41+E41+9))),E41))</f>
        <v>44126</v>
      </c>
      <c r="H41" s="36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</vt:lpstr>
      <vt:lpstr>Параметры</vt:lpstr>
      <vt:lpstr>График!Заголовки_для_печати</vt:lpstr>
      <vt:lpstr>График!Область_печати</vt:lpstr>
    </vt:vector>
  </TitlesOfParts>
  <Company>ООО Газпром трансгаз Сургут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Кутельникова Елена Викторовна</dc:creator>
  <cp:lastModifiedBy>Boroda</cp:lastModifiedBy>
  <cp:lastPrinted>2020-02-01T09:26:11Z</cp:lastPrinted>
  <dcterms:created xsi:type="dcterms:W3CDTF">2019-01-18T12:31:43Z</dcterms:created>
  <dcterms:modified xsi:type="dcterms:W3CDTF">2020-02-03T10:23:02Z</dcterms:modified>
</cp:coreProperties>
</file>