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4030"/>
  <workbookPr filterPrivacy="1" autoCompressPictures="0"/>
  <bookViews>
    <workbookView xWindow="0" yWindow="0" windowWidth="27320" windowHeight="13180"/>
  </bookViews>
  <sheets>
    <sheet name="Отчёт по ТОиР ПКС" sheetId="1" r:id="rId1"/>
    <sheet name="Праздники" sheetId="2" r:id="rId2"/>
  </sheets>
  <definedNames>
    <definedName name="Праздники">Праздники!$A$2:$A$15</definedName>
  </definedNames>
  <calcPr calcId="140001" concurrentCalc="0"/>
  <fileRecoveryPr autoRecover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P32" i="1" l="1"/>
  <c r="T4" i="1"/>
  <c r="T5" i="1"/>
  <c r="T6" i="1"/>
  <c r="T7" i="1"/>
  <c r="T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  <c r="T50" i="1"/>
  <c r="T51" i="1"/>
  <c r="T52" i="1"/>
  <c r="T53" i="1"/>
  <c r="T54" i="1"/>
  <c r="T55" i="1"/>
  <c r="T56" i="1"/>
  <c r="T57" i="1"/>
  <c r="T58" i="1"/>
  <c r="T59" i="1"/>
  <c r="T60" i="1"/>
  <c r="T61" i="1"/>
  <c r="T62" i="1"/>
  <c r="T63" i="1"/>
  <c r="T64" i="1"/>
  <c r="T65" i="1"/>
  <c r="T66" i="1"/>
  <c r="T67" i="1"/>
  <c r="T68" i="1"/>
  <c r="T69" i="1"/>
  <c r="T70" i="1"/>
  <c r="T71" i="1"/>
  <c r="T72" i="1"/>
  <c r="T73" i="1"/>
  <c r="T74" i="1"/>
  <c r="T75" i="1"/>
  <c r="T76" i="1"/>
  <c r="T77" i="1"/>
  <c r="T78" i="1"/>
  <c r="T79" i="1"/>
  <c r="T80" i="1"/>
  <c r="T81" i="1"/>
  <c r="T82" i="1"/>
  <c r="T83" i="1"/>
  <c r="T84" i="1"/>
  <c r="T85" i="1"/>
  <c r="T86" i="1"/>
  <c r="T87" i="1"/>
  <c r="T88" i="1"/>
  <c r="T89" i="1"/>
  <c r="T90" i="1"/>
  <c r="T91" i="1"/>
  <c r="T92" i="1"/>
  <c r="T93" i="1"/>
  <c r="T94" i="1"/>
  <c r="T95" i="1"/>
  <c r="T96" i="1"/>
  <c r="T97" i="1"/>
  <c r="T98" i="1"/>
  <c r="T99" i="1"/>
  <c r="T100" i="1"/>
  <c r="T101" i="1"/>
  <c r="T102" i="1"/>
  <c r="T103" i="1"/>
  <c r="T104" i="1"/>
  <c r="T105" i="1"/>
  <c r="T106" i="1"/>
  <c r="T107" i="1"/>
  <c r="T108" i="1"/>
  <c r="T109" i="1"/>
  <c r="T110" i="1"/>
  <c r="T111" i="1"/>
  <c r="T112" i="1"/>
  <c r="T113" i="1"/>
  <c r="T114" i="1"/>
  <c r="T115" i="1"/>
  <c r="T116" i="1"/>
  <c r="T117" i="1"/>
  <c r="T118" i="1"/>
  <c r="T119" i="1"/>
  <c r="T120" i="1"/>
  <c r="T121" i="1"/>
  <c r="T122" i="1"/>
  <c r="T123" i="1"/>
  <c r="T124" i="1"/>
  <c r="T125" i="1"/>
  <c r="T126" i="1"/>
  <c r="T127" i="1"/>
  <c r="T128" i="1"/>
  <c r="T129" i="1"/>
  <c r="T130" i="1"/>
  <c r="T131" i="1"/>
  <c r="T132" i="1"/>
  <c r="T133" i="1"/>
  <c r="T134" i="1"/>
  <c r="T135" i="1"/>
  <c r="T136" i="1"/>
  <c r="T137" i="1"/>
  <c r="T138" i="1"/>
  <c r="T139" i="1"/>
  <c r="T140" i="1"/>
  <c r="T141" i="1"/>
  <c r="T142" i="1"/>
  <c r="T143" i="1"/>
  <c r="T144" i="1"/>
  <c r="T145" i="1"/>
  <c r="T146" i="1"/>
  <c r="T147" i="1"/>
  <c r="T148" i="1"/>
  <c r="T149" i="1"/>
  <c r="T3" i="1"/>
  <c r="J12" i="1"/>
  <c r="J4" i="1"/>
  <c r="J5" i="1"/>
  <c r="J6" i="1"/>
  <c r="J7" i="1"/>
  <c r="J8" i="1"/>
  <c r="J9" i="1"/>
  <c r="J10" i="1"/>
  <c r="J11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3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3" i="1"/>
  <c r="O3" i="1"/>
  <c r="P3" i="1"/>
  <c r="P151" i="1"/>
  <c r="AD6" i="1"/>
  <c r="O4" i="1"/>
  <c r="P4" i="1"/>
  <c r="O5" i="1"/>
  <c r="P5" i="1"/>
  <c r="O6" i="1"/>
  <c r="P6" i="1"/>
  <c r="O7" i="1"/>
  <c r="P7" i="1"/>
  <c r="O8" i="1"/>
  <c r="P8" i="1"/>
  <c r="O9" i="1"/>
  <c r="O10" i="1"/>
  <c r="P10" i="1"/>
  <c r="O11" i="1"/>
  <c r="P11" i="1"/>
  <c r="O12" i="1"/>
  <c r="P12" i="1"/>
  <c r="O13" i="1"/>
  <c r="P13" i="1"/>
  <c r="O14" i="1"/>
  <c r="P14" i="1"/>
  <c r="O15" i="1"/>
  <c r="P15" i="1"/>
  <c r="O16" i="1"/>
  <c r="P16" i="1"/>
  <c r="O17" i="1"/>
  <c r="P17" i="1"/>
  <c r="O18" i="1"/>
  <c r="P18" i="1"/>
  <c r="O19" i="1"/>
  <c r="P19" i="1"/>
  <c r="O20" i="1"/>
  <c r="P20" i="1"/>
  <c r="O21" i="1"/>
  <c r="P21" i="1"/>
  <c r="O22" i="1"/>
  <c r="P22" i="1"/>
  <c r="O23" i="1"/>
  <c r="P23" i="1"/>
  <c r="O24" i="1"/>
  <c r="P24" i="1"/>
  <c r="O25" i="1"/>
  <c r="P25" i="1"/>
  <c r="O26" i="1"/>
  <c r="P26" i="1"/>
  <c r="O27" i="1"/>
  <c r="P27" i="1"/>
  <c r="O28" i="1"/>
  <c r="P28" i="1"/>
  <c r="O29" i="1"/>
  <c r="P29" i="1"/>
  <c r="O30" i="1"/>
  <c r="P30" i="1"/>
  <c r="O31" i="1"/>
  <c r="P31" i="1"/>
  <c r="O32" i="1"/>
  <c r="O33" i="1"/>
  <c r="P33" i="1"/>
  <c r="O34" i="1"/>
  <c r="P34" i="1"/>
  <c r="O35" i="1"/>
  <c r="P35" i="1"/>
  <c r="O36" i="1"/>
  <c r="P36" i="1"/>
  <c r="O37" i="1"/>
  <c r="P37" i="1"/>
  <c r="O38" i="1"/>
  <c r="P38" i="1"/>
  <c r="O39" i="1"/>
  <c r="P39" i="1"/>
  <c r="O40" i="1"/>
  <c r="P40" i="1"/>
  <c r="O41" i="1"/>
  <c r="P41" i="1"/>
  <c r="O42" i="1"/>
  <c r="P42" i="1"/>
  <c r="O43" i="1"/>
  <c r="P43" i="1"/>
  <c r="O44" i="1"/>
  <c r="P44" i="1"/>
  <c r="O45" i="1"/>
  <c r="P45" i="1"/>
  <c r="O46" i="1"/>
  <c r="P46" i="1"/>
  <c r="O47" i="1"/>
  <c r="P47" i="1"/>
  <c r="O48" i="1"/>
  <c r="P48" i="1"/>
  <c r="O49" i="1"/>
  <c r="P49" i="1"/>
  <c r="O50" i="1"/>
  <c r="P50" i="1"/>
  <c r="O51" i="1"/>
  <c r="P51" i="1"/>
  <c r="O52" i="1"/>
  <c r="P52" i="1"/>
  <c r="O53" i="1"/>
  <c r="P53" i="1"/>
  <c r="O54" i="1"/>
  <c r="P54" i="1"/>
  <c r="O55" i="1"/>
  <c r="P55" i="1"/>
  <c r="O56" i="1"/>
  <c r="P56" i="1"/>
  <c r="O57" i="1"/>
  <c r="P57" i="1"/>
  <c r="O58" i="1"/>
  <c r="P58" i="1"/>
  <c r="O59" i="1"/>
  <c r="P59" i="1"/>
  <c r="O60" i="1"/>
  <c r="P60" i="1"/>
  <c r="O61" i="1"/>
  <c r="P61" i="1"/>
  <c r="O62" i="1"/>
  <c r="P62" i="1"/>
  <c r="O63" i="1"/>
  <c r="P63" i="1"/>
  <c r="O64" i="1"/>
  <c r="P64" i="1"/>
  <c r="O65" i="1"/>
  <c r="P65" i="1"/>
  <c r="O66" i="1"/>
  <c r="P66" i="1"/>
  <c r="O67" i="1"/>
  <c r="P67" i="1"/>
  <c r="O68" i="1"/>
  <c r="P68" i="1"/>
  <c r="O69" i="1"/>
  <c r="P69" i="1"/>
  <c r="O70" i="1"/>
  <c r="P70" i="1"/>
  <c r="O71" i="1"/>
  <c r="P71" i="1"/>
  <c r="O72" i="1"/>
  <c r="P72" i="1"/>
  <c r="O73" i="1"/>
  <c r="P73" i="1"/>
  <c r="O74" i="1"/>
  <c r="P74" i="1"/>
  <c r="O75" i="1"/>
  <c r="P75" i="1"/>
  <c r="O76" i="1"/>
  <c r="P76" i="1"/>
  <c r="O77" i="1"/>
  <c r="P77" i="1"/>
  <c r="O78" i="1"/>
  <c r="P78" i="1"/>
  <c r="O79" i="1"/>
  <c r="P79" i="1"/>
  <c r="O80" i="1"/>
  <c r="P80" i="1"/>
  <c r="O81" i="1"/>
  <c r="P81" i="1"/>
  <c r="O82" i="1"/>
  <c r="P82" i="1"/>
  <c r="O83" i="1"/>
  <c r="P83" i="1"/>
  <c r="O84" i="1"/>
  <c r="P84" i="1"/>
  <c r="O85" i="1"/>
  <c r="P85" i="1"/>
  <c r="O86" i="1"/>
  <c r="P86" i="1"/>
  <c r="O87" i="1"/>
  <c r="P87" i="1"/>
  <c r="O88" i="1"/>
  <c r="P88" i="1"/>
  <c r="O89" i="1"/>
  <c r="P89" i="1"/>
  <c r="O90" i="1"/>
  <c r="P90" i="1"/>
  <c r="O91" i="1"/>
  <c r="P91" i="1"/>
  <c r="O92" i="1"/>
  <c r="P92" i="1"/>
  <c r="O93" i="1"/>
  <c r="P93" i="1"/>
  <c r="O94" i="1"/>
  <c r="P94" i="1"/>
  <c r="O95" i="1"/>
  <c r="P95" i="1"/>
  <c r="O96" i="1"/>
  <c r="P96" i="1"/>
  <c r="O97" i="1"/>
  <c r="P97" i="1"/>
  <c r="O98" i="1"/>
  <c r="P98" i="1"/>
  <c r="O99" i="1"/>
  <c r="P99" i="1"/>
  <c r="O100" i="1"/>
  <c r="P100" i="1"/>
  <c r="O101" i="1"/>
  <c r="P101" i="1"/>
  <c r="O102" i="1"/>
  <c r="P102" i="1"/>
  <c r="O103" i="1"/>
  <c r="P103" i="1"/>
  <c r="O104" i="1"/>
  <c r="P104" i="1"/>
  <c r="O105" i="1"/>
  <c r="P105" i="1"/>
  <c r="O106" i="1"/>
  <c r="P106" i="1"/>
  <c r="O107" i="1"/>
  <c r="P107" i="1"/>
  <c r="O108" i="1"/>
  <c r="P108" i="1"/>
  <c r="O109" i="1"/>
  <c r="P109" i="1"/>
  <c r="O110" i="1"/>
  <c r="P110" i="1"/>
  <c r="O111" i="1"/>
  <c r="P111" i="1"/>
  <c r="O112" i="1"/>
  <c r="P112" i="1"/>
  <c r="O113" i="1"/>
  <c r="P113" i="1"/>
  <c r="O114" i="1"/>
  <c r="P114" i="1"/>
  <c r="O115" i="1"/>
  <c r="P115" i="1"/>
  <c r="O116" i="1"/>
  <c r="P116" i="1"/>
  <c r="O117" i="1"/>
  <c r="P117" i="1"/>
  <c r="O118" i="1"/>
  <c r="P118" i="1"/>
  <c r="O119" i="1"/>
  <c r="P119" i="1"/>
  <c r="O120" i="1"/>
  <c r="P120" i="1"/>
  <c r="O121" i="1"/>
  <c r="P121" i="1"/>
  <c r="O122" i="1"/>
  <c r="P122" i="1"/>
  <c r="O123" i="1"/>
  <c r="P123" i="1"/>
  <c r="O124" i="1"/>
  <c r="P124" i="1"/>
  <c r="O125" i="1"/>
  <c r="P125" i="1"/>
  <c r="O126" i="1"/>
  <c r="P126" i="1"/>
  <c r="O127" i="1"/>
  <c r="P127" i="1"/>
  <c r="O128" i="1"/>
  <c r="P128" i="1"/>
  <c r="O129" i="1"/>
  <c r="P129" i="1"/>
  <c r="O130" i="1"/>
  <c r="P130" i="1"/>
  <c r="O131" i="1"/>
  <c r="P131" i="1"/>
  <c r="O132" i="1"/>
  <c r="P132" i="1"/>
  <c r="O133" i="1"/>
  <c r="P133" i="1"/>
  <c r="O134" i="1"/>
  <c r="P134" i="1"/>
  <c r="O135" i="1"/>
  <c r="P135" i="1"/>
  <c r="O136" i="1"/>
  <c r="P136" i="1"/>
  <c r="O137" i="1"/>
  <c r="P137" i="1"/>
  <c r="O138" i="1"/>
  <c r="P138" i="1"/>
  <c r="O139" i="1"/>
  <c r="P139" i="1"/>
  <c r="O140" i="1"/>
  <c r="P140" i="1"/>
  <c r="O141" i="1"/>
  <c r="P141" i="1"/>
  <c r="O142" i="1"/>
  <c r="P142" i="1"/>
  <c r="O143" i="1"/>
  <c r="P143" i="1"/>
  <c r="O144" i="1"/>
  <c r="P144" i="1"/>
  <c r="O145" i="1"/>
  <c r="P145" i="1"/>
  <c r="O146" i="1"/>
  <c r="P146" i="1"/>
  <c r="O147" i="1"/>
  <c r="P147" i="1"/>
  <c r="O148" i="1"/>
  <c r="P148" i="1"/>
  <c r="O149" i="1"/>
  <c r="P149" i="1"/>
  <c r="AC3" i="1"/>
  <c r="AC19" i="1"/>
  <c r="AC20" i="1"/>
  <c r="AC21" i="1"/>
  <c r="AC22" i="1"/>
  <c r="AC23" i="1"/>
  <c r="AC24" i="1"/>
  <c r="AC25" i="1"/>
  <c r="AC26" i="1"/>
  <c r="AC27" i="1"/>
  <c r="AC28" i="1"/>
  <c r="AC29" i="1"/>
  <c r="AC30" i="1"/>
  <c r="AC31" i="1"/>
  <c r="AC32" i="1"/>
  <c r="AC33" i="1"/>
  <c r="AC34" i="1"/>
  <c r="AC35" i="1"/>
  <c r="AC36" i="1"/>
  <c r="AC37" i="1"/>
  <c r="AC38" i="1"/>
  <c r="AC39" i="1"/>
  <c r="AC40" i="1"/>
  <c r="AC41" i="1"/>
  <c r="AC42" i="1"/>
  <c r="AC43" i="1"/>
  <c r="AC44" i="1"/>
  <c r="AC45" i="1"/>
  <c r="AC46" i="1"/>
  <c r="AC47" i="1"/>
  <c r="AC48" i="1"/>
  <c r="AC49" i="1"/>
  <c r="AC50" i="1"/>
  <c r="AC51" i="1"/>
  <c r="AC52" i="1"/>
  <c r="AC53" i="1"/>
  <c r="AC54" i="1"/>
  <c r="AC55" i="1"/>
  <c r="AC56" i="1"/>
  <c r="AC57" i="1"/>
  <c r="AC58" i="1"/>
  <c r="AC59" i="1"/>
  <c r="AC60" i="1"/>
  <c r="AC61" i="1"/>
  <c r="AC62" i="1"/>
  <c r="AC63" i="1"/>
  <c r="AC64" i="1"/>
  <c r="AC65" i="1"/>
  <c r="AC66" i="1"/>
  <c r="AC67" i="1"/>
  <c r="AC68" i="1"/>
  <c r="AC69" i="1"/>
  <c r="AC70" i="1"/>
  <c r="AC71" i="1"/>
  <c r="AC72" i="1"/>
  <c r="AC73" i="1"/>
  <c r="AC74" i="1"/>
  <c r="AC75" i="1"/>
  <c r="AC76" i="1"/>
  <c r="AC77" i="1"/>
  <c r="AC78" i="1"/>
  <c r="AC79" i="1"/>
  <c r="AC80" i="1"/>
  <c r="AC81" i="1"/>
  <c r="AC82" i="1"/>
  <c r="AC83" i="1"/>
  <c r="AC84" i="1"/>
  <c r="AC85" i="1"/>
  <c r="AC86" i="1"/>
  <c r="AC87" i="1"/>
  <c r="AC88" i="1"/>
  <c r="AC89" i="1"/>
  <c r="AC90" i="1"/>
  <c r="AC91" i="1"/>
  <c r="AC92" i="1"/>
  <c r="AC93" i="1"/>
  <c r="AC94" i="1"/>
  <c r="AC95" i="1"/>
  <c r="AC96" i="1"/>
  <c r="AC97" i="1"/>
  <c r="AC98" i="1"/>
  <c r="AC99" i="1"/>
  <c r="AC100" i="1"/>
  <c r="AC101" i="1"/>
  <c r="AC102" i="1"/>
  <c r="AC103" i="1"/>
  <c r="AC104" i="1"/>
  <c r="AC105" i="1"/>
  <c r="AC106" i="1"/>
  <c r="AC107" i="1"/>
  <c r="AC108" i="1"/>
  <c r="AC109" i="1"/>
  <c r="AC110" i="1"/>
  <c r="AC111" i="1"/>
  <c r="AC112" i="1"/>
  <c r="AC113" i="1"/>
  <c r="AC114" i="1"/>
  <c r="AC115" i="1"/>
  <c r="AC116" i="1"/>
  <c r="AC117" i="1"/>
  <c r="AC118" i="1"/>
  <c r="AC119" i="1"/>
  <c r="AC120" i="1"/>
  <c r="AC121" i="1"/>
  <c r="AC122" i="1"/>
  <c r="AC123" i="1"/>
  <c r="AC124" i="1"/>
  <c r="AC125" i="1"/>
  <c r="AC126" i="1"/>
  <c r="AC127" i="1"/>
  <c r="AC128" i="1"/>
  <c r="AC129" i="1"/>
  <c r="AC130" i="1"/>
  <c r="AC131" i="1"/>
  <c r="AC132" i="1"/>
  <c r="AC133" i="1"/>
  <c r="AC134" i="1"/>
  <c r="AC135" i="1"/>
  <c r="AC136" i="1"/>
  <c r="AC137" i="1"/>
  <c r="AC138" i="1"/>
  <c r="AC139" i="1"/>
  <c r="AC140" i="1"/>
  <c r="AC141" i="1"/>
  <c r="AC142" i="1"/>
  <c r="AC143" i="1"/>
  <c r="AC144" i="1"/>
  <c r="AC145" i="1"/>
  <c r="AC146" i="1"/>
  <c r="AC147" i="1"/>
  <c r="AC148" i="1"/>
  <c r="AC149" i="1"/>
  <c r="AC6" i="1"/>
  <c r="AC7" i="1"/>
  <c r="AC8" i="1"/>
  <c r="AC9" i="1"/>
  <c r="AC10" i="1"/>
  <c r="AC11" i="1"/>
  <c r="AC12" i="1"/>
  <c r="AC13" i="1"/>
  <c r="AC14" i="1"/>
  <c r="AC15" i="1"/>
  <c r="AC16" i="1"/>
  <c r="AC17" i="1"/>
  <c r="AC18" i="1"/>
  <c r="AC4" i="1"/>
  <c r="AC5" i="1"/>
  <c r="AF3" i="1"/>
  <c r="AF4" i="1"/>
  <c r="AF5" i="1"/>
  <c r="AF6" i="1"/>
  <c r="AF7" i="1"/>
  <c r="AF8" i="1"/>
  <c r="AF9" i="1"/>
  <c r="AF10" i="1"/>
  <c r="AF11" i="1"/>
  <c r="AF12" i="1"/>
  <c r="AF13" i="1"/>
  <c r="AF14" i="1"/>
  <c r="AF15" i="1"/>
  <c r="AF16" i="1"/>
  <c r="AF17" i="1"/>
  <c r="AF18" i="1"/>
  <c r="AF19" i="1"/>
  <c r="AF20" i="1"/>
  <c r="AF21" i="1"/>
  <c r="AF22" i="1"/>
  <c r="AF23" i="1"/>
  <c r="AF24" i="1"/>
  <c r="AF25" i="1"/>
  <c r="AF26" i="1"/>
  <c r="AF27" i="1"/>
  <c r="AF28" i="1"/>
  <c r="AF29" i="1"/>
  <c r="AF30" i="1"/>
  <c r="AF31" i="1"/>
  <c r="AF32" i="1"/>
  <c r="AF33" i="1"/>
  <c r="AF34" i="1"/>
  <c r="AF35" i="1"/>
  <c r="AF36" i="1"/>
  <c r="AF37" i="1"/>
  <c r="AF38" i="1"/>
  <c r="AF39" i="1"/>
  <c r="AF40" i="1"/>
  <c r="AF41" i="1"/>
  <c r="AF42" i="1"/>
  <c r="AF43" i="1"/>
  <c r="AF44" i="1"/>
  <c r="AF45" i="1"/>
  <c r="AF46" i="1"/>
  <c r="AF47" i="1"/>
  <c r="AF48" i="1"/>
  <c r="AF49" i="1"/>
  <c r="AF50" i="1"/>
  <c r="AF51" i="1"/>
  <c r="AF52" i="1"/>
  <c r="AF53" i="1"/>
  <c r="AF54" i="1"/>
  <c r="AF55" i="1"/>
  <c r="AF56" i="1"/>
  <c r="AF57" i="1"/>
  <c r="AF58" i="1"/>
  <c r="AF59" i="1"/>
  <c r="AF60" i="1"/>
  <c r="AF61" i="1"/>
  <c r="AF62" i="1"/>
  <c r="AF63" i="1"/>
  <c r="AF64" i="1"/>
  <c r="AF65" i="1"/>
  <c r="AF66" i="1"/>
  <c r="AF67" i="1"/>
  <c r="AF68" i="1"/>
  <c r="AF69" i="1"/>
  <c r="AF70" i="1"/>
  <c r="AF71" i="1"/>
  <c r="AF72" i="1"/>
  <c r="AF73" i="1"/>
  <c r="AF74" i="1"/>
  <c r="AF75" i="1"/>
  <c r="AF76" i="1"/>
  <c r="AF77" i="1"/>
  <c r="AF78" i="1"/>
  <c r="AF79" i="1"/>
  <c r="AF80" i="1"/>
  <c r="AF81" i="1"/>
  <c r="AF82" i="1"/>
  <c r="AF83" i="1"/>
  <c r="AF84" i="1"/>
  <c r="AF85" i="1"/>
  <c r="AF86" i="1"/>
  <c r="AF87" i="1"/>
  <c r="AF88" i="1"/>
  <c r="AF89" i="1"/>
  <c r="AF90" i="1"/>
  <c r="AF91" i="1"/>
  <c r="AF92" i="1"/>
  <c r="AF93" i="1"/>
  <c r="AF94" i="1"/>
  <c r="AF95" i="1"/>
  <c r="AF96" i="1"/>
  <c r="AF97" i="1"/>
  <c r="AF98" i="1"/>
  <c r="AF99" i="1"/>
  <c r="AF100" i="1"/>
  <c r="AF101" i="1"/>
  <c r="AF102" i="1"/>
  <c r="AF103" i="1"/>
  <c r="AF104" i="1"/>
  <c r="AF105" i="1"/>
  <c r="AF106" i="1"/>
  <c r="AF107" i="1"/>
  <c r="AF108" i="1"/>
  <c r="AF109" i="1"/>
  <c r="AF110" i="1"/>
  <c r="AF111" i="1"/>
  <c r="AF112" i="1"/>
  <c r="AF113" i="1"/>
  <c r="AF114" i="1"/>
  <c r="AF115" i="1"/>
  <c r="AF116" i="1"/>
  <c r="AF117" i="1"/>
  <c r="AF118" i="1"/>
  <c r="AF119" i="1"/>
  <c r="AF120" i="1"/>
  <c r="AF121" i="1"/>
  <c r="AF122" i="1"/>
  <c r="AF123" i="1"/>
  <c r="AF124" i="1"/>
  <c r="AF125" i="1"/>
  <c r="AF126" i="1"/>
  <c r="AF127" i="1"/>
  <c r="AF128" i="1"/>
  <c r="AF129" i="1"/>
  <c r="AF130" i="1"/>
  <c r="AF131" i="1"/>
  <c r="AF132" i="1"/>
  <c r="AF133" i="1"/>
  <c r="AF134" i="1"/>
  <c r="AF135" i="1"/>
  <c r="AF136" i="1"/>
  <c r="AF137" i="1"/>
  <c r="AF138" i="1"/>
  <c r="AF139" i="1"/>
  <c r="AF140" i="1"/>
  <c r="AF141" i="1"/>
  <c r="AF142" i="1"/>
  <c r="AF143" i="1"/>
  <c r="AF144" i="1"/>
  <c r="AF145" i="1"/>
  <c r="AF146" i="1"/>
  <c r="AF147" i="1"/>
  <c r="AF148" i="1"/>
  <c r="AF149" i="1"/>
  <c r="AD5" i="1"/>
  <c r="AD7" i="1"/>
  <c r="AD8" i="1"/>
  <c r="AD9" i="1"/>
  <c r="AD10" i="1"/>
  <c r="AD11" i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D25" i="1"/>
  <c r="AD26" i="1"/>
  <c r="AD27" i="1"/>
  <c r="AD28" i="1"/>
  <c r="AD29" i="1"/>
  <c r="AD30" i="1"/>
  <c r="AD31" i="1"/>
  <c r="AD32" i="1"/>
  <c r="AD33" i="1"/>
  <c r="AD34" i="1"/>
  <c r="AD35" i="1"/>
  <c r="AD36" i="1"/>
  <c r="AD37" i="1"/>
  <c r="AD38" i="1"/>
  <c r="AD39" i="1"/>
  <c r="AD40" i="1"/>
  <c r="AD41" i="1"/>
  <c r="AD42" i="1"/>
  <c r="AD43" i="1"/>
  <c r="AD44" i="1"/>
  <c r="AD45" i="1"/>
  <c r="AD46" i="1"/>
  <c r="AD47" i="1"/>
  <c r="AD48" i="1"/>
  <c r="AD49" i="1"/>
  <c r="AD50" i="1"/>
  <c r="AD51" i="1"/>
  <c r="AD52" i="1"/>
  <c r="AD53" i="1"/>
  <c r="AD54" i="1"/>
  <c r="AD55" i="1"/>
  <c r="AD56" i="1"/>
  <c r="AD57" i="1"/>
  <c r="AD58" i="1"/>
  <c r="AD59" i="1"/>
  <c r="AD60" i="1"/>
  <c r="AD61" i="1"/>
  <c r="AD62" i="1"/>
  <c r="AD63" i="1"/>
  <c r="AD64" i="1"/>
  <c r="AD65" i="1"/>
  <c r="AD66" i="1"/>
  <c r="AD67" i="1"/>
  <c r="AD68" i="1"/>
  <c r="AD69" i="1"/>
  <c r="AD70" i="1"/>
  <c r="AD71" i="1"/>
  <c r="AD72" i="1"/>
  <c r="AD73" i="1"/>
  <c r="AD74" i="1"/>
  <c r="AD75" i="1"/>
  <c r="AD76" i="1"/>
  <c r="AD77" i="1"/>
  <c r="AD78" i="1"/>
  <c r="AD79" i="1"/>
  <c r="AD80" i="1"/>
  <c r="AD81" i="1"/>
  <c r="AD82" i="1"/>
  <c r="AD83" i="1"/>
  <c r="AD84" i="1"/>
  <c r="AD85" i="1"/>
  <c r="AD86" i="1"/>
  <c r="AD87" i="1"/>
  <c r="AD88" i="1"/>
  <c r="AD89" i="1"/>
  <c r="AD90" i="1"/>
  <c r="AD91" i="1"/>
  <c r="AD92" i="1"/>
  <c r="AD93" i="1"/>
  <c r="AD94" i="1"/>
  <c r="AD95" i="1"/>
  <c r="AD96" i="1"/>
  <c r="AD97" i="1"/>
  <c r="AD98" i="1"/>
  <c r="AD99" i="1"/>
  <c r="AD100" i="1"/>
  <c r="AD101" i="1"/>
  <c r="AD102" i="1"/>
  <c r="AD103" i="1"/>
  <c r="AD104" i="1"/>
  <c r="AD105" i="1"/>
  <c r="AD106" i="1"/>
  <c r="AD107" i="1"/>
  <c r="AD108" i="1"/>
  <c r="AD109" i="1"/>
  <c r="AD110" i="1"/>
  <c r="AD111" i="1"/>
  <c r="AD112" i="1"/>
  <c r="AD113" i="1"/>
  <c r="AD114" i="1"/>
  <c r="AD115" i="1"/>
  <c r="AD116" i="1"/>
  <c r="AD117" i="1"/>
  <c r="AD118" i="1"/>
  <c r="AD119" i="1"/>
  <c r="AD120" i="1"/>
  <c r="AD121" i="1"/>
  <c r="AD122" i="1"/>
  <c r="AD123" i="1"/>
  <c r="AD124" i="1"/>
  <c r="AD125" i="1"/>
  <c r="AD126" i="1"/>
  <c r="AD127" i="1"/>
  <c r="AD128" i="1"/>
  <c r="AD129" i="1"/>
  <c r="AD130" i="1"/>
  <c r="AD131" i="1"/>
  <c r="AD132" i="1"/>
  <c r="AD133" i="1"/>
  <c r="AD134" i="1"/>
  <c r="AD135" i="1"/>
  <c r="AD136" i="1"/>
  <c r="AD137" i="1"/>
  <c r="AD138" i="1"/>
  <c r="AD139" i="1"/>
  <c r="AD140" i="1"/>
  <c r="AD141" i="1"/>
  <c r="AD142" i="1"/>
  <c r="AD143" i="1"/>
  <c r="AD144" i="1"/>
  <c r="AD145" i="1"/>
  <c r="AD146" i="1"/>
  <c r="AD147" i="1"/>
  <c r="AD148" i="1"/>
  <c r="AD149" i="1"/>
  <c r="AD3" i="1"/>
  <c r="AD4" i="1"/>
  <c r="Q5" i="1"/>
  <c r="R5" i="1"/>
  <c r="S5" i="1"/>
  <c r="Q6" i="1"/>
  <c r="R6" i="1"/>
  <c r="S6" i="1"/>
  <c r="Q7" i="1"/>
  <c r="R7" i="1"/>
  <c r="S7" i="1"/>
  <c r="Q8" i="1"/>
  <c r="R8" i="1"/>
  <c r="S8" i="1"/>
  <c r="Q9" i="1"/>
  <c r="R9" i="1"/>
  <c r="S9" i="1"/>
  <c r="Q10" i="1"/>
  <c r="R10" i="1"/>
  <c r="S10" i="1"/>
  <c r="Q11" i="1"/>
  <c r="R11" i="1"/>
  <c r="S11" i="1"/>
  <c r="Q12" i="1"/>
  <c r="R12" i="1"/>
  <c r="S12" i="1"/>
  <c r="Q13" i="1"/>
  <c r="R13" i="1"/>
  <c r="S13" i="1"/>
  <c r="Q14" i="1"/>
  <c r="R14" i="1"/>
  <c r="S14" i="1"/>
  <c r="Q15" i="1"/>
  <c r="R15" i="1"/>
  <c r="S15" i="1"/>
  <c r="Q16" i="1"/>
  <c r="R16" i="1"/>
  <c r="S16" i="1"/>
  <c r="Q17" i="1"/>
  <c r="R17" i="1"/>
  <c r="S17" i="1"/>
  <c r="Q18" i="1"/>
  <c r="R18" i="1"/>
  <c r="S18" i="1"/>
  <c r="Q19" i="1"/>
  <c r="R19" i="1"/>
  <c r="S19" i="1"/>
  <c r="Q20" i="1"/>
  <c r="R20" i="1"/>
  <c r="S20" i="1"/>
  <c r="Q21" i="1"/>
  <c r="R21" i="1"/>
  <c r="S21" i="1"/>
  <c r="Q22" i="1"/>
  <c r="R22" i="1"/>
  <c r="S22" i="1"/>
  <c r="Q23" i="1"/>
  <c r="R23" i="1"/>
  <c r="S23" i="1"/>
  <c r="Q24" i="1"/>
  <c r="R24" i="1"/>
  <c r="S24" i="1"/>
  <c r="Q25" i="1"/>
  <c r="R25" i="1"/>
  <c r="S25" i="1"/>
  <c r="Q26" i="1"/>
  <c r="R26" i="1"/>
  <c r="S26" i="1"/>
  <c r="Q27" i="1"/>
  <c r="R27" i="1"/>
  <c r="S27" i="1"/>
  <c r="Q28" i="1"/>
  <c r="R28" i="1"/>
  <c r="S28" i="1"/>
  <c r="Q29" i="1"/>
  <c r="R29" i="1"/>
  <c r="S29" i="1"/>
  <c r="Q30" i="1"/>
  <c r="R30" i="1"/>
  <c r="S30" i="1"/>
  <c r="Q31" i="1"/>
  <c r="R31" i="1"/>
  <c r="S31" i="1"/>
  <c r="Q32" i="1"/>
  <c r="R32" i="1"/>
  <c r="S32" i="1"/>
  <c r="Q33" i="1"/>
  <c r="R33" i="1"/>
  <c r="S33" i="1"/>
  <c r="Q34" i="1"/>
  <c r="R34" i="1"/>
  <c r="S34" i="1"/>
  <c r="Q35" i="1"/>
  <c r="R35" i="1"/>
  <c r="S35" i="1"/>
  <c r="Q36" i="1"/>
  <c r="R36" i="1"/>
  <c r="S36" i="1"/>
  <c r="Q37" i="1"/>
  <c r="R37" i="1"/>
  <c r="S37" i="1"/>
  <c r="Q38" i="1"/>
  <c r="R38" i="1"/>
  <c r="S38" i="1"/>
  <c r="Q39" i="1"/>
  <c r="R39" i="1"/>
  <c r="S39" i="1"/>
  <c r="Q40" i="1"/>
  <c r="R40" i="1"/>
  <c r="S40" i="1"/>
  <c r="Q41" i="1"/>
  <c r="R41" i="1"/>
  <c r="S41" i="1"/>
  <c r="Q42" i="1"/>
  <c r="R42" i="1"/>
  <c r="S42" i="1"/>
  <c r="Q43" i="1"/>
  <c r="R43" i="1"/>
  <c r="S43" i="1"/>
  <c r="Q44" i="1"/>
  <c r="R44" i="1"/>
  <c r="S44" i="1"/>
  <c r="Q45" i="1"/>
  <c r="R45" i="1"/>
  <c r="S45" i="1"/>
  <c r="Q46" i="1"/>
  <c r="R46" i="1"/>
  <c r="S46" i="1"/>
  <c r="Q47" i="1"/>
  <c r="R47" i="1"/>
  <c r="S47" i="1"/>
  <c r="Q48" i="1"/>
  <c r="R48" i="1"/>
  <c r="S48" i="1"/>
  <c r="Q49" i="1"/>
  <c r="R49" i="1"/>
  <c r="S49" i="1"/>
  <c r="Q50" i="1"/>
  <c r="R50" i="1"/>
  <c r="S50" i="1"/>
  <c r="Q51" i="1"/>
  <c r="R51" i="1"/>
  <c r="S51" i="1"/>
  <c r="Q52" i="1"/>
  <c r="R52" i="1"/>
  <c r="S52" i="1"/>
  <c r="Q53" i="1"/>
  <c r="R53" i="1"/>
  <c r="S53" i="1"/>
  <c r="Q54" i="1"/>
  <c r="R54" i="1"/>
  <c r="S54" i="1"/>
  <c r="Q55" i="1"/>
  <c r="R55" i="1"/>
  <c r="S55" i="1"/>
  <c r="Q56" i="1"/>
  <c r="R56" i="1"/>
  <c r="S56" i="1"/>
  <c r="Q57" i="1"/>
  <c r="R57" i="1"/>
  <c r="S57" i="1"/>
  <c r="Q58" i="1"/>
  <c r="R58" i="1"/>
  <c r="S58" i="1"/>
  <c r="Q59" i="1"/>
  <c r="R59" i="1"/>
  <c r="S59" i="1"/>
  <c r="Q60" i="1"/>
  <c r="R60" i="1"/>
  <c r="S60" i="1"/>
  <c r="Q61" i="1"/>
  <c r="R61" i="1"/>
  <c r="S61" i="1"/>
  <c r="Q62" i="1"/>
  <c r="R62" i="1"/>
  <c r="S62" i="1"/>
  <c r="Q63" i="1"/>
  <c r="R63" i="1"/>
  <c r="S63" i="1"/>
  <c r="Q64" i="1"/>
  <c r="R64" i="1"/>
  <c r="S64" i="1"/>
  <c r="Q65" i="1"/>
  <c r="R65" i="1"/>
  <c r="S65" i="1"/>
  <c r="Q66" i="1"/>
  <c r="R66" i="1"/>
  <c r="S66" i="1"/>
  <c r="Q67" i="1"/>
  <c r="R67" i="1"/>
  <c r="S67" i="1"/>
  <c r="Q68" i="1"/>
  <c r="R68" i="1"/>
  <c r="S68" i="1"/>
  <c r="Q69" i="1"/>
  <c r="R69" i="1"/>
  <c r="S69" i="1"/>
  <c r="Q70" i="1"/>
  <c r="R70" i="1"/>
  <c r="S70" i="1"/>
  <c r="Q71" i="1"/>
  <c r="R71" i="1"/>
  <c r="S71" i="1"/>
  <c r="Q72" i="1"/>
  <c r="R72" i="1"/>
  <c r="S72" i="1"/>
  <c r="Q73" i="1"/>
  <c r="R73" i="1"/>
  <c r="S73" i="1"/>
  <c r="Q74" i="1"/>
  <c r="R74" i="1"/>
  <c r="S74" i="1"/>
  <c r="Q75" i="1"/>
  <c r="R75" i="1"/>
  <c r="S75" i="1"/>
  <c r="Q76" i="1"/>
  <c r="R76" i="1"/>
  <c r="S76" i="1"/>
  <c r="Q77" i="1"/>
  <c r="R77" i="1"/>
  <c r="S77" i="1"/>
  <c r="Q78" i="1"/>
  <c r="R78" i="1"/>
  <c r="S78" i="1"/>
  <c r="Q79" i="1"/>
  <c r="R79" i="1"/>
  <c r="S79" i="1"/>
  <c r="Q80" i="1"/>
  <c r="R80" i="1"/>
  <c r="S80" i="1"/>
  <c r="Q81" i="1"/>
  <c r="R81" i="1"/>
  <c r="S81" i="1"/>
  <c r="Q82" i="1"/>
  <c r="R82" i="1"/>
  <c r="S82" i="1"/>
  <c r="Q83" i="1"/>
  <c r="R83" i="1"/>
  <c r="S83" i="1"/>
  <c r="Q84" i="1"/>
  <c r="R84" i="1"/>
  <c r="S84" i="1"/>
  <c r="Q85" i="1"/>
  <c r="R85" i="1"/>
  <c r="S85" i="1"/>
  <c r="Q86" i="1"/>
  <c r="R86" i="1"/>
  <c r="S86" i="1"/>
  <c r="Q87" i="1"/>
  <c r="R87" i="1"/>
  <c r="S87" i="1"/>
  <c r="Q88" i="1"/>
  <c r="R88" i="1"/>
  <c r="S88" i="1"/>
  <c r="Q89" i="1"/>
  <c r="R89" i="1"/>
  <c r="S89" i="1"/>
  <c r="Q90" i="1"/>
  <c r="R90" i="1"/>
  <c r="S90" i="1"/>
  <c r="Q91" i="1"/>
  <c r="R91" i="1"/>
  <c r="S91" i="1"/>
  <c r="Q92" i="1"/>
  <c r="R92" i="1"/>
  <c r="S92" i="1"/>
  <c r="Q93" i="1"/>
  <c r="R93" i="1"/>
  <c r="S93" i="1"/>
  <c r="Q94" i="1"/>
  <c r="R94" i="1"/>
  <c r="S94" i="1"/>
  <c r="Q95" i="1"/>
  <c r="R95" i="1"/>
  <c r="S95" i="1"/>
  <c r="Q96" i="1"/>
  <c r="R96" i="1"/>
  <c r="S96" i="1"/>
  <c r="Q97" i="1"/>
  <c r="R97" i="1"/>
  <c r="S97" i="1"/>
  <c r="Q98" i="1"/>
  <c r="R98" i="1"/>
  <c r="S98" i="1"/>
  <c r="Q99" i="1"/>
  <c r="R99" i="1"/>
  <c r="S99" i="1"/>
  <c r="Q100" i="1"/>
  <c r="R100" i="1"/>
  <c r="S100" i="1"/>
  <c r="Q101" i="1"/>
  <c r="R101" i="1"/>
  <c r="S101" i="1"/>
  <c r="Q102" i="1"/>
  <c r="R102" i="1"/>
  <c r="S102" i="1"/>
  <c r="Q103" i="1"/>
  <c r="R103" i="1"/>
  <c r="S103" i="1"/>
  <c r="Q104" i="1"/>
  <c r="R104" i="1"/>
  <c r="S104" i="1"/>
  <c r="Q105" i="1"/>
  <c r="R105" i="1"/>
  <c r="S105" i="1"/>
  <c r="Q106" i="1"/>
  <c r="R106" i="1"/>
  <c r="S106" i="1"/>
  <c r="Q107" i="1"/>
  <c r="R107" i="1"/>
  <c r="S107" i="1"/>
  <c r="Q108" i="1"/>
  <c r="R108" i="1"/>
  <c r="S108" i="1"/>
  <c r="Q109" i="1"/>
  <c r="R109" i="1"/>
  <c r="S109" i="1"/>
  <c r="Q110" i="1"/>
  <c r="R110" i="1"/>
  <c r="S110" i="1"/>
  <c r="Q111" i="1"/>
  <c r="R111" i="1"/>
  <c r="S111" i="1"/>
  <c r="Q112" i="1"/>
  <c r="R112" i="1"/>
  <c r="S112" i="1"/>
  <c r="Q113" i="1"/>
  <c r="R113" i="1"/>
  <c r="S113" i="1"/>
  <c r="Q114" i="1"/>
  <c r="R114" i="1"/>
  <c r="S114" i="1"/>
  <c r="Q115" i="1"/>
  <c r="R115" i="1"/>
  <c r="S115" i="1"/>
  <c r="Q116" i="1"/>
  <c r="R116" i="1"/>
  <c r="S116" i="1"/>
  <c r="Q117" i="1"/>
  <c r="R117" i="1"/>
  <c r="S117" i="1"/>
  <c r="Q118" i="1"/>
  <c r="R118" i="1"/>
  <c r="S118" i="1"/>
  <c r="Q119" i="1"/>
  <c r="R119" i="1"/>
  <c r="S119" i="1"/>
  <c r="Q120" i="1"/>
  <c r="R120" i="1"/>
  <c r="S120" i="1"/>
  <c r="Q121" i="1"/>
  <c r="R121" i="1"/>
  <c r="S121" i="1"/>
  <c r="Q122" i="1"/>
  <c r="R122" i="1"/>
  <c r="S122" i="1"/>
  <c r="Q123" i="1"/>
  <c r="R123" i="1"/>
  <c r="S123" i="1"/>
  <c r="Q124" i="1"/>
  <c r="R124" i="1"/>
  <c r="S124" i="1"/>
  <c r="Q125" i="1"/>
  <c r="R125" i="1"/>
  <c r="S125" i="1"/>
  <c r="Q126" i="1"/>
  <c r="R126" i="1"/>
  <c r="S126" i="1"/>
  <c r="Q127" i="1"/>
  <c r="R127" i="1"/>
  <c r="S127" i="1"/>
  <c r="Q128" i="1"/>
  <c r="R128" i="1"/>
  <c r="S128" i="1"/>
  <c r="Q129" i="1"/>
  <c r="R129" i="1"/>
  <c r="S129" i="1"/>
  <c r="Q130" i="1"/>
  <c r="R130" i="1"/>
  <c r="S130" i="1"/>
  <c r="Q131" i="1"/>
  <c r="R131" i="1"/>
  <c r="S131" i="1"/>
  <c r="Q132" i="1"/>
  <c r="R132" i="1"/>
  <c r="S132" i="1"/>
  <c r="Q133" i="1"/>
  <c r="R133" i="1"/>
  <c r="S133" i="1"/>
  <c r="Q134" i="1"/>
  <c r="R134" i="1"/>
  <c r="S134" i="1"/>
  <c r="Q135" i="1"/>
  <c r="R135" i="1"/>
  <c r="S135" i="1"/>
  <c r="Q136" i="1"/>
  <c r="R136" i="1"/>
  <c r="S136" i="1"/>
  <c r="Q137" i="1"/>
  <c r="R137" i="1"/>
  <c r="S137" i="1"/>
  <c r="Q138" i="1"/>
  <c r="R138" i="1"/>
  <c r="S138" i="1"/>
  <c r="Q139" i="1"/>
  <c r="R139" i="1"/>
  <c r="S139" i="1"/>
  <c r="Q140" i="1"/>
  <c r="R140" i="1"/>
  <c r="S140" i="1"/>
  <c r="Q141" i="1"/>
  <c r="R141" i="1"/>
  <c r="S141" i="1"/>
  <c r="Q142" i="1"/>
  <c r="R142" i="1"/>
  <c r="S142" i="1"/>
  <c r="Q143" i="1"/>
  <c r="R143" i="1"/>
  <c r="S143" i="1"/>
  <c r="Q144" i="1"/>
  <c r="R144" i="1"/>
  <c r="S144" i="1"/>
  <c r="Q145" i="1"/>
  <c r="R145" i="1"/>
  <c r="S145" i="1"/>
  <c r="Q146" i="1"/>
  <c r="R146" i="1"/>
  <c r="S146" i="1"/>
  <c r="Q147" i="1"/>
  <c r="R147" i="1"/>
  <c r="S147" i="1"/>
  <c r="Q148" i="1"/>
  <c r="R148" i="1"/>
  <c r="S148" i="1"/>
  <c r="Q149" i="1"/>
  <c r="R149" i="1"/>
  <c r="S149" i="1"/>
  <c r="S4" i="1"/>
  <c r="Q4" i="1"/>
  <c r="R4" i="1"/>
</calcChain>
</file>

<file path=xl/sharedStrings.xml><?xml version="1.0" encoding="utf-8"?>
<sst xmlns="http://schemas.openxmlformats.org/spreadsheetml/2006/main" count="160" uniqueCount="158">
  <si>
    <t>Содержание</t>
  </si>
  <si>
    <t>Вес</t>
  </si>
  <si>
    <t>Назначение</t>
  </si>
  <si>
    <t>Крайний срок</t>
  </si>
  <si>
    <t>Выполнение</t>
  </si>
  <si>
    <t>План</t>
  </si>
  <si>
    <t>Факт</t>
  </si>
  <si>
    <t>Кратность</t>
  </si>
  <si>
    <t>Принтер HP 2727 рвется термопленка, необходима замена.</t>
  </si>
  <si>
    <t xml:space="preserve">В магазине сломался принтер 3220, не видит бумагу
</t>
  </si>
  <si>
    <t>Не работает принтер</t>
  </si>
  <si>
    <t>сломался принтер</t>
  </si>
  <si>
    <t>принтер Xerox 3220 заминает бумагу</t>
  </si>
  <si>
    <t>не работает принтер,срочно нужен ремонт,на принтнре выходит окно "системная ошибка"</t>
  </si>
  <si>
    <t>Не работает принтер.
Выдает ошибку : замятие 2.
Бумаги внутри нет,перезагрузка не помогает.</t>
  </si>
  <si>
    <t>постоянно жует и захватывает по несколько листов
бумаги за раз.</t>
  </si>
  <si>
    <t>Нужно ТО принтера,зажевывает бумагу и захватывает несколько:листов</t>
  </si>
  <si>
    <t>Не работает принтер. В меню- системная ошибка.</t>
  </si>
  <si>
    <t>Необходимо почистить принтер.</t>
  </si>
  <si>
    <t>Плохо работает принтер: мнет и пачкает бумагу.</t>
  </si>
  <si>
    <t>Неработает принтер. Горит красная кнопка, пишет низкая температ.
Перезагрузите.
Выключили включили непомогает.</t>
  </si>
  <si>
    <t>Не работает ксерокс 3220 на деборе. Очень срочно надо сделать</t>
  </si>
  <si>
    <t>Принтер не копирует, необходимо техобслуживание</t>
  </si>
  <si>
    <t>Принтер не захватывает бумагу – пишит о замятии, но его нет</t>
  </si>
  <si>
    <t>Принтер при печати захватывает по  2-3 листа.Требуется ремонт.</t>
  </si>
  <si>
    <t>Не печатает принтер М № 443</t>
  </si>
  <si>
    <t>Принтер постоянно зажевывает бумагу</t>
  </si>
  <si>
    <t>Обший вес нарушений:</t>
  </si>
  <si>
    <t>ТО МФУ/принтеров 161-</t>
  </si>
  <si>
    <t>ТО МФУ/принтеров 2257-</t>
  </si>
  <si>
    <t>ТО МФУ/принтеров 130-</t>
  </si>
  <si>
    <t>ТО МФУ/принтеров 108-</t>
  </si>
  <si>
    <t>ТО МФУ/принтеров 117-</t>
  </si>
  <si>
    <t>ТО МФУ/принтеров 3355-</t>
  </si>
  <si>
    <t>ТО МФУ/принтеров 3027-</t>
  </si>
  <si>
    <t>ТО МФУ/принтеров 2351-</t>
  </si>
  <si>
    <t>ТО МФУ/принтеров 2447-</t>
  </si>
  <si>
    <t>ТО МФУ/принтеров 3080-</t>
  </si>
  <si>
    <t>ТО МФУ/принтеров 3329-</t>
  </si>
  <si>
    <t>ТО МФУ/принтеров 1306-</t>
  </si>
  <si>
    <t>ТО МФУ/принтеров 1475-</t>
  </si>
  <si>
    <t>ТО МФУ/принтеров 1381-</t>
  </si>
  <si>
    <t>ТО МФУ/принтеров 1379-</t>
  </si>
  <si>
    <t>ТО МФУ/принтеров 2139-</t>
  </si>
  <si>
    <t>ТО МФУ/принтеров 3126-</t>
  </si>
  <si>
    <t>ТО МФУ/принтеров 2448-</t>
  </si>
  <si>
    <t>ТО МФУ/принтеров 1930-</t>
  </si>
  <si>
    <t>ТО МФУ/принтеров 157-</t>
  </si>
  <si>
    <t>ТО МФУ/принтеров 3291-</t>
  </si>
  <si>
    <t>ТО МФУ/принтеров 3482-</t>
  </si>
  <si>
    <t>ТО МФУ/принтеров 132-</t>
  </si>
  <si>
    <t>ТО МФУ/принтеров 116-</t>
  </si>
  <si>
    <t>ТО МФУ/принтеров 153-</t>
  </si>
  <si>
    <t>ТО МФУ/принтеров 2406-</t>
  </si>
  <si>
    <t>ТО МФУ/принтеров 3384-</t>
  </si>
  <si>
    <t>ТО МФУ/принтеров 412-</t>
  </si>
  <si>
    <t>ТО МФУ/принтеров 159-</t>
  </si>
  <si>
    <t>ТО МФУ/принтеров 1248-</t>
  </si>
  <si>
    <t>ТО МФУ/принтеров 1221-</t>
  </si>
  <si>
    <t>ТО МФУ/принтеров 143-</t>
  </si>
  <si>
    <t>ТО МФУ/принтеров 145-</t>
  </si>
  <si>
    <t>ТО МФУ/принтеров 147-</t>
  </si>
  <si>
    <t>ТО МФУ/принтеров 2722-</t>
  </si>
  <si>
    <t>ТО МФУ/принтеров 2459-</t>
  </si>
  <si>
    <t>ТО МФУ/принтеров 2671-</t>
  </si>
  <si>
    <t>ТО МФУ/принтеров 3438-</t>
  </si>
  <si>
    <t>ТО МФУ/принтеров 3079-</t>
  </si>
  <si>
    <t>ТО МФУ/принтеров 3330-</t>
  </si>
  <si>
    <t>ТО МФУ/принтеров 2681-</t>
  </si>
  <si>
    <t>ТО МФУ/принтеров 3289-</t>
  </si>
  <si>
    <t>ТО МФУ/принтеров 190-</t>
  </si>
  <si>
    <t>ТО МФУ/принтеров 2088-</t>
  </si>
  <si>
    <t>ТО МФУ/принтеров 2866-</t>
  </si>
  <si>
    <t>ТО МФУ/принтеров 2152-</t>
  </si>
  <si>
    <t>ТО МФУ/принтеров 111-</t>
  </si>
  <si>
    <t>ТО МФУ/принтеров 164-</t>
  </si>
  <si>
    <t>ТО МФУ/принтеров 174-</t>
  </si>
  <si>
    <t>ТО МФУ/принтеров 1222-</t>
  </si>
  <si>
    <t>ТО МФУ/принтеров 1238-</t>
  </si>
  <si>
    <t>ТО МФУ/принтеров 1465-</t>
  </si>
  <si>
    <t>ТО МФУ/принтеров 1664-</t>
  </si>
  <si>
    <t>ТО МФУ/принтеров 3417-</t>
  </si>
  <si>
    <t>ТО МФУ/принтеров 1223-</t>
  </si>
  <si>
    <t>ТО МФУ/принтеров 1024-</t>
  </si>
  <si>
    <t>ТО МФУ/принтеров 1803-</t>
  </si>
  <si>
    <t>ТО МФУ/принтеров 2363-</t>
  </si>
  <si>
    <t>ТО МФУ/принтеров 3356-</t>
  </si>
  <si>
    <t>ТО МФУ/принтеров 3256-</t>
  </si>
  <si>
    <t>ТО МФУ/принтеров 2407-</t>
  </si>
  <si>
    <t>ТО МФУ/принтеров 2683-</t>
  </si>
  <si>
    <t xml:space="preserve">ТО МФУ/принтеров 2445 </t>
  </si>
  <si>
    <t>ТО МФУ/принтеров 2345-</t>
  </si>
  <si>
    <t>ТО МФУ/принтеров 1129-</t>
  </si>
  <si>
    <t>ТО МФУ/принтеров 3509-</t>
  </si>
  <si>
    <t>ТО МФУ/принтеров 3290-</t>
  </si>
  <si>
    <t>ТО МФУ/принтеров 3578-</t>
  </si>
  <si>
    <t>ТО МФУ/принтеров 3357-</t>
  </si>
  <si>
    <t>ТО МФУ/принтеров 3255-</t>
  </si>
  <si>
    <t>ТО МФУ/принтеров 184-</t>
  </si>
  <si>
    <t>ТО МФУ/принтеров 1224-</t>
  </si>
  <si>
    <t>ТО МФУ/принтеров 1561-</t>
  </si>
  <si>
    <t>ТО МФУ/принтеров 2675-</t>
  </si>
  <si>
    <t>ТО МФУ/принтеров 2237-</t>
  </si>
  <si>
    <t>ТО МФУ/принтеров 120-</t>
  </si>
  <si>
    <t>ТО МФУ/принтеров 1303-</t>
  </si>
  <si>
    <t>ТО МФУ/принтеров 3230-</t>
  </si>
  <si>
    <t>ТО МФУ/принтеров 3145-</t>
  </si>
  <si>
    <t>ТО МФУ/принтеров 3481-</t>
  </si>
  <si>
    <t>ТО МФУ/принтеров 3298-</t>
  </si>
  <si>
    <t>ТО МФУ/принтеров 2138-</t>
  </si>
  <si>
    <t>ТО МФУ/принтеров 122-</t>
  </si>
  <si>
    <t>ТО МФУ/принтеров 134-</t>
  </si>
  <si>
    <t>ТО МФУ/принтеров 2253-</t>
  </si>
  <si>
    <t>ТО МФУ/принтеров 2676-</t>
  </si>
  <si>
    <t>ТО МФУ/принтеров 1558-</t>
  </si>
  <si>
    <t>ТО МФУ/принтеров 1489-</t>
  </si>
  <si>
    <t>ТО МФУ/принтеров 1464-</t>
  </si>
  <si>
    <t>ТО МФУ/принтеров 1610-</t>
  </si>
  <si>
    <t>ТО МФУ/принтеров 2754-</t>
  </si>
  <si>
    <t>ТО МФУ/принтеров 2033-</t>
  </si>
  <si>
    <t>ТО МФУ/принтеров 1488-</t>
  </si>
  <si>
    <t>ТО МФУ/принтеров 1470-</t>
  </si>
  <si>
    <t>ТО МФУ/принтеров 1469-</t>
  </si>
  <si>
    <t>ТО МФУ/принтеров 3253-</t>
  </si>
  <si>
    <t>ТО МФУ/принтеров 2485-</t>
  </si>
  <si>
    <t>ТО МФУ/принтеров 3310-</t>
  </si>
  <si>
    <t>ТО МФУ/принтеров 3320-</t>
  </si>
  <si>
    <t>ТО МФУ/принтеров 156-</t>
  </si>
  <si>
    <t>ТО МФУ/принтеров 1009-</t>
  </si>
  <si>
    <t>ТО МФУ/принтеров 158-</t>
  </si>
  <si>
    <t>ТО МФУ/принтеров 135-</t>
  </si>
  <si>
    <t>ТО МФУ/принтеров 144-</t>
  </si>
  <si>
    <t>ТО МФУ/принтеров 112-</t>
  </si>
  <si>
    <t>ТО МФУ/принтеров 703</t>
  </si>
  <si>
    <t>Не работает принтер жуёт бумагу</t>
  </si>
  <si>
    <t xml:space="preserve">ТО МФУ/принтеров </t>
  </si>
  <si>
    <t xml:space="preserve">ТО МФУ/принтеров 105 </t>
  </si>
  <si>
    <t xml:space="preserve">ТО МФУ/принтеров 183 </t>
  </si>
  <si>
    <t xml:space="preserve">ТО МФУ/принтеров 176 </t>
  </si>
  <si>
    <t>ТО МФУ/принтеров 192</t>
  </si>
  <si>
    <t xml:space="preserve">ТО МФУ/принтеров 178 </t>
  </si>
  <si>
    <t xml:space="preserve">ТО МФУ/принтеров 168 </t>
  </si>
  <si>
    <t>ТО МФУ/принтеров 162</t>
  </si>
  <si>
    <t>ТО МФУ/принтеров 119</t>
  </si>
  <si>
    <t xml:space="preserve">ТО МФУ/принтеров 107 </t>
  </si>
  <si>
    <t xml:space="preserve">ТО МФУ/принтеров 188 </t>
  </si>
  <si>
    <t xml:space="preserve">ТО МФУ/принтеров 189 </t>
  </si>
  <si>
    <t>ТО МФУ/принтеров 1001</t>
  </si>
  <si>
    <t>ТО МФУ/принтеров 1005</t>
  </si>
  <si>
    <t>Не работает принтер, пишет "Установите картридж", хотя картридж 
установлен. Пробовали менять картридж - пишет тоже самое</t>
  </si>
  <si>
    <t>ТО МФУ/принтеров</t>
  </si>
  <si>
    <t>ТО МФУ/принтеров 172</t>
  </si>
  <si>
    <t>ТО МФУ/принтеров 173</t>
  </si>
  <si>
    <t xml:space="preserve">Не работает принтер.Просьба срочно </t>
  </si>
  <si>
    <t>на приемке принтер xerox lazer  печатает полосками</t>
  </si>
  <si>
    <t>Праздники</t>
  </si>
  <si>
    <t>Расчёт. Начало</t>
  </si>
  <si>
    <t>Расчёт. Оконч.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</si>
</sst>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[$-10409]#,##0;\(#,##0\)"/>
    <numFmt numFmtId="165" formatCode="[h]:mm:ss;@"/>
    <numFmt numFmtId="166" formatCode="ddd\ dd/mm\ hh:mm:ss"/>
    <numFmt numFmtId="167" formatCode="[hh]:mm:ss"/>
  </numFmts>
  <fonts count="15" x14ac:knownFonts="1">
    <font>
      <sz val="10"/>
      <name val="Arial"/>
    </font>
    <font>
      <sz val="10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color indexed="11"/>
      <name val="Arial"/>
      <family val="2"/>
      <charset val="204"/>
    </font>
    <font>
      <sz val="10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rgb="FFFF0000"/>
      <name val="Calibri"/>
      <family val="2"/>
      <charset val="204"/>
      <scheme val="minor"/>
    </font>
    <font>
      <sz val="11"/>
      <color rgb="FFFF0000"/>
      <name val="Calibri"/>
      <family val="2"/>
      <charset val="204"/>
    </font>
    <font>
      <sz val="10"/>
      <color rgb="FFFF0000"/>
      <name val="Arial"/>
      <family val="2"/>
      <charset val="204"/>
    </font>
    <font>
      <b/>
      <sz val="10"/>
      <color rgb="FFFF0000"/>
      <name val="Arial"/>
      <family val="2"/>
      <charset val="204"/>
    </font>
    <font>
      <b/>
      <sz val="12"/>
      <color rgb="FF0070C0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0" tint="-0.14999847407452621"/>
      <name val="Arial"/>
      <family val="2"/>
      <charset val="204"/>
    </font>
    <font>
      <b/>
      <sz val="10"/>
      <color theme="0" tint="-0.1499984740745262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10"/>
        <bgColor indexed="0"/>
      </patternFill>
    </fill>
    <fill>
      <patternFill patternType="solid">
        <fgColor indexed="12"/>
        <bgColor indexed="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theme="0" tint="-0.499984740745262"/>
      </left>
      <right style="thin">
        <color auto="1"/>
      </right>
      <top style="thin">
        <color indexed="8"/>
      </top>
      <bottom style="thin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0" xfId="0" applyAlignment="1">
      <alignment vertical="center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vertical="center" wrapText="1"/>
      <protection locked="0"/>
    </xf>
    <xf numFmtId="0" fontId="1" fillId="3" borderId="1" xfId="0" applyFont="1" applyFill="1" applyBorder="1" applyAlignment="1" applyProtection="1">
      <alignment vertical="center" wrapText="1"/>
      <protection locked="0"/>
    </xf>
    <xf numFmtId="164" fontId="2" fillId="2" borderId="3" xfId="0" applyNumberFormat="1" applyFont="1" applyFill="1" applyBorder="1" applyAlignment="1" applyProtection="1">
      <alignment vertical="center" wrapText="1"/>
      <protection locked="0"/>
    </xf>
    <xf numFmtId="0" fontId="0" fillId="0" borderId="0" xfId="0" applyAlignment="1">
      <alignment horizontal="center" vertical="center"/>
    </xf>
    <xf numFmtId="165" fontId="5" fillId="4" borderId="0" xfId="0" applyNumberFormat="1" applyFont="1" applyFill="1" applyAlignment="1">
      <alignment horizontal="right" vertical="center"/>
    </xf>
    <xf numFmtId="165" fontId="6" fillId="0" borderId="0" xfId="0" applyNumberFormat="1" applyFont="1" applyAlignment="1">
      <alignment vertical="center"/>
    </xf>
    <xf numFmtId="165" fontId="0" fillId="0" borderId="0" xfId="0" applyNumberFormat="1" applyAlignment="1">
      <alignment vertical="center"/>
    </xf>
    <xf numFmtId="2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166" fontId="0" fillId="0" borderId="5" xfId="0" applyNumberFormat="1" applyBorder="1" applyAlignment="1">
      <alignment horizontal="left"/>
    </xf>
    <xf numFmtId="167" fontId="0" fillId="0" borderId="5" xfId="0" applyNumberFormat="1" applyBorder="1" applyAlignment="1">
      <alignment vertical="center"/>
    </xf>
    <xf numFmtId="165" fontId="5" fillId="5" borderId="0" xfId="0" applyNumberFormat="1" applyFont="1" applyFill="1" applyAlignment="1">
      <alignment horizontal="right" vertical="center"/>
    </xf>
    <xf numFmtId="165" fontId="7" fillId="4" borderId="0" xfId="0" applyNumberFormat="1" applyFont="1" applyFill="1" applyAlignment="1">
      <alignment horizontal="right" vertical="center"/>
    </xf>
    <xf numFmtId="165" fontId="8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167" fontId="9" fillId="0" borderId="5" xfId="0" applyNumberFormat="1" applyFont="1" applyBorder="1" applyAlignment="1">
      <alignment vertical="center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vertical="center" wrapText="1"/>
      <protection locked="0"/>
    </xf>
    <xf numFmtId="0" fontId="1" fillId="2" borderId="0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 applyProtection="1">
      <alignment vertical="center" wrapText="1"/>
      <protection locked="0"/>
    </xf>
    <xf numFmtId="164" fontId="2" fillId="2" borderId="0" xfId="0" applyNumberFormat="1" applyFont="1" applyFill="1" applyBorder="1" applyAlignment="1" applyProtection="1">
      <alignment vertical="center" wrapText="1"/>
      <protection locked="0"/>
    </xf>
    <xf numFmtId="20" fontId="11" fillId="0" borderId="0" xfId="0" applyNumberFormat="1" applyFont="1" applyAlignment="1">
      <alignment horizontal="right" vertical="center"/>
    </xf>
    <xf numFmtId="20" fontId="11" fillId="0" borderId="0" xfId="0" applyNumberFormat="1" applyFont="1" applyAlignment="1">
      <alignment vertical="center"/>
    </xf>
    <xf numFmtId="165" fontId="0" fillId="0" borderId="0" xfId="0" applyNumberFormat="1" applyAlignment="1">
      <alignment horizontal="right" vertical="center"/>
    </xf>
    <xf numFmtId="165" fontId="0" fillId="0" borderId="5" xfId="0" applyNumberFormat="1" applyBorder="1" applyAlignment="1">
      <alignment vertical="center"/>
    </xf>
    <xf numFmtId="165" fontId="12" fillId="0" borderId="5" xfId="0" applyNumberFormat="1" applyFont="1" applyBorder="1" applyAlignment="1">
      <alignment vertical="center"/>
    </xf>
    <xf numFmtId="165" fontId="10" fillId="0" borderId="5" xfId="0" applyNumberFormat="1" applyFont="1" applyBorder="1" applyAlignment="1">
      <alignment vertical="center"/>
    </xf>
    <xf numFmtId="165" fontId="4" fillId="0" borderId="0" xfId="0" applyNumberFormat="1" applyFont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0" fontId="13" fillId="0" borderId="0" xfId="0" applyFont="1" applyAlignment="1">
      <alignment vertical="center"/>
    </xf>
    <xf numFmtId="0" fontId="13" fillId="2" borderId="1" xfId="0" applyFont="1" applyFill="1" applyBorder="1" applyAlignment="1" applyProtection="1">
      <alignment horizontal="center" vertical="center" wrapText="1"/>
      <protection locked="0"/>
    </xf>
    <xf numFmtId="2" fontId="13" fillId="2" borderId="1" xfId="0" applyNumberFormat="1" applyFont="1" applyFill="1" applyBorder="1" applyAlignment="1" applyProtection="1">
      <alignment horizontal="center" vertical="center" wrapText="1"/>
      <protection locked="0"/>
    </xf>
    <xf numFmtId="1" fontId="13" fillId="0" borderId="1" xfId="0" applyNumberFormat="1" applyFont="1" applyBorder="1" applyAlignment="1" applyProtection="1">
      <alignment vertical="center" wrapText="1"/>
      <protection locked="0"/>
    </xf>
    <xf numFmtId="2" fontId="13" fillId="0" borderId="1" xfId="0" applyNumberFormat="1" applyFont="1" applyBorder="1" applyAlignment="1" applyProtection="1">
      <alignment vertical="center" wrapText="1"/>
      <protection locked="0"/>
    </xf>
    <xf numFmtId="0" fontId="13" fillId="0" borderId="1" xfId="0" applyFont="1" applyBorder="1" applyAlignment="1" applyProtection="1">
      <alignment vertical="center" wrapText="1"/>
      <protection locked="0"/>
    </xf>
    <xf numFmtId="1" fontId="13" fillId="3" borderId="1" xfId="0" applyNumberFormat="1" applyFont="1" applyFill="1" applyBorder="1" applyAlignment="1" applyProtection="1">
      <alignment vertical="center" wrapText="1"/>
      <protection locked="0"/>
    </xf>
    <xf numFmtId="2" fontId="13" fillId="3" borderId="1" xfId="0" applyNumberFormat="1" applyFont="1" applyFill="1" applyBorder="1" applyAlignment="1" applyProtection="1">
      <alignment vertical="center" wrapText="1"/>
      <protection locked="0"/>
    </xf>
    <xf numFmtId="0" fontId="13" fillId="3" borderId="1" xfId="0" applyFont="1" applyFill="1" applyBorder="1" applyAlignment="1" applyProtection="1">
      <alignment vertical="center" wrapText="1"/>
      <protection locked="0"/>
    </xf>
    <xf numFmtId="164" fontId="13" fillId="0" borderId="1" xfId="0" applyNumberFormat="1" applyFont="1" applyBorder="1" applyAlignment="1" applyProtection="1">
      <alignment vertical="center" wrapText="1"/>
      <protection locked="0"/>
    </xf>
    <xf numFmtId="2" fontId="14" fillId="0" borderId="1" xfId="0" applyNumberFormat="1" applyFont="1" applyBorder="1" applyAlignment="1" applyProtection="1">
      <alignment vertical="center" wrapText="1"/>
      <protection locked="0"/>
    </xf>
    <xf numFmtId="164" fontId="13" fillId="3" borderId="1" xfId="0" applyNumberFormat="1" applyFont="1" applyFill="1" applyBorder="1" applyAlignment="1" applyProtection="1">
      <alignment vertical="center" wrapText="1"/>
      <protection locked="0"/>
    </xf>
    <xf numFmtId="2" fontId="14" fillId="3" borderId="1" xfId="0" applyNumberFormat="1" applyFont="1" applyFill="1" applyBorder="1" applyAlignment="1" applyProtection="1">
      <alignment vertical="center" wrapText="1"/>
      <protection locked="0"/>
    </xf>
    <xf numFmtId="164" fontId="14" fillId="2" borderId="3" xfId="0" applyNumberFormat="1" applyFont="1" applyFill="1" applyBorder="1" applyAlignment="1" applyProtection="1">
      <alignment vertical="center" wrapText="1"/>
      <protection locked="0"/>
    </xf>
    <xf numFmtId="2" fontId="13" fillId="0" borderId="0" xfId="0" applyNumberFormat="1" applyFont="1" applyAlignment="1">
      <alignment vertical="center"/>
    </xf>
    <xf numFmtId="0" fontId="14" fillId="2" borderId="4" xfId="0" applyFont="1" applyFill="1" applyBorder="1" applyAlignment="1" applyProtection="1">
      <alignment horizontal="right" vertical="center" wrapText="1"/>
      <protection locked="0"/>
    </xf>
    <xf numFmtId="0" fontId="13" fillId="0" borderId="2" xfId="0" applyFont="1" applyBorder="1" applyAlignment="1" applyProtection="1">
      <alignment vertical="center" wrapText="1"/>
      <protection locked="0"/>
    </xf>
    <xf numFmtId="0" fontId="1" fillId="3" borderId="1" xfId="0" applyFont="1" applyFill="1" applyBorder="1" applyAlignment="1" applyProtection="1">
      <alignment vertical="center" wrapText="1"/>
      <protection locked="0"/>
    </xf>
    <xf numFmtId="0" fontId="0" fillId="0" borderId="2" xfId="0" applyBorder="1" applyAlignment="1" applyProtection="1">
      <alignment vertical="center" wrapText="1"/>
      <protection locked="0"/>
    </xf>
    <xf numFmtId="0" fontId="0" fillId="0" borderId="3" xfId="0" applyBorder="1" applyAlignment="1" applyProtection="1">
      <alignment vertical="center" wrapText="1"/>
      <protection locked="0"/>
    </xf>
    <xf numFmtId="0" fontId="1" fillId="0" borderId="1" xfId="0" applyFont="1" applyBorder="1" applyAlignment="1" applyProtection="1">
      <alignment vertical="center" wrapText="1"/>
      <protection locked="0"/>
    </xf>
    <xf numFmtId="0" fontId="2" fillId="2" borderId="4" xfId="0" applyFont="1" applyFill="1" applyBorder="1" applyAlignment="1" applyProtection="1">
      <alignment horizontal="right" vertical="center" wrapText="1"/>
      <protection locked="0"/>
    </xf>
    <xf numFmtId="0" fontId="2" fillId="2" borderId="1" xfId="0" applyFont="1" applyFill="1" applyBorder="1" applyAlignment="1" applyProtection="1">
      <alignment horizontal="right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14" fontId="0" fillId="0" borderId="0" xfId="0" applyNumberFormat="1"/>
    <xf numFmtId="166" fontId="0" fillId="0" borderId="6" xfId="0" applyNumberFormat="1" applyBorder="1" applyAlignment="1">
      <alignment horizontal="left"/>
    </xf>
    <xf numFmtId="166" fontId="0" fillId="0" borderId="7" xfId="0" applyNumberFormat="1" applyBorder="1" applyAlignment="1">
      <alignment horizontal="left"/>
    </xf>
    <xf numFmtId="14" fontId="0" fillId="0" borderId="0" xfId="0" applyNumberFormat="1" applyAlignment="1">
      <alignment vertical="center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8C00"/>
      <rgbColor rgb="00FFD700"/>
      <rgbColor rgb="00FF0000"/>
      <rgbColor rgb="00FFF8DC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52"/>
  <sheetViews>
    <sheetView showGridLines="0" tabSelected="1" topLeftCell="B1" workbookViewId="0">
      <selection activeCell="T3" sqref="T3"/>
    </sheetView>
  </sheetViews>
  <sheetFormatPr baseColWidth="10" defaultColWidth="8.83203125" defaultRowHeight="12" x14ac:dyDescent="0"/>
  <cols>
    <col min="1" max="5" width="9.6640625" style="1" customWidth="1"/>
    <col min="6" max="8" width="17.83203125" style="1" customWidth="1"/>
    <col min="9" max="10" width="17.83203125" style="11" customWidth="1"/>
    <col min="11" max="11" width="8.83203125" style="32"/>
    <col min="12" max="12" width="10.1640625" style="46" bestFit="1" customWidth="1"/>
    <col min="13" max="13" width="9.6640625" style="32" customWidth="1"/>
    <col min="14" max="14" width="6.5" style="32" customWidth="1"/>
    <col min="15" max="15" width="4.1640625" style="11" customWidth="1"/>
    <col min="16" max="16" width="14.5" style="26" customWidth="1"/>
    <col min="17" max="17" width="4.5" style="1" hidden="1" customWidth="1"/>
    <col min="18" max="18" width="7" style="1" hidden="1" customWidth="1"/>
    <col min="19" max="19" width="9.1640625" style="1" hidden="1" customWidth="1"/>
    <col min="20" max="20" width="11" style="9" customWidth="1"/>
    <col min="21" max="28" width="9.1640625" style="11" customWidth="1"/>
    <col min="29" max="29" width="14.5" style="9" customWidth="1"/>
    <col min="30" max="30" width="8.83203125" style="9"/>
    <col min="31" max="31" width="2.5" style="1" customWidth="1"/>
    <col min="32" max="32" width="18.83203125" style="1" customWidth="1"/>
    <col min="33" max="16384" width="8.83203125" style="1"/>
  </cols>
  <sheetData>
    <row r="1" spans="1:32" ht="73.75" customHeight="1">
      <c r="L1" s="24">
        <v>0.375</v>
      </c>
      <c r="M1" s="25">
        <v>0.875</v>
      </c>
      <c r="AC1" s="10"/>
    </row>
    <row r="2" spans="1:32" ht="15.75" customHeight="1">
      <c r="A2" s="55" t="s">
        <v>0</v>
      </c>
      <c r="B2" s="50"/>
      <c r="C2" s="50"/>
      <c r="D2" s="51"/>
      <c r="E2" s="2" t="s">
        <v>1</v>
      </c>
      <c r="F2" s="2" t="s">
        <v>2</v>
      </c>
      <c r="G2" s="2" t="s">
        <v>3</v>
      </c>
      <c r="H2" s="2" t="s">
        <v>4</v>
      </c>
      <c r="I2" s="19" t="s">
        <v>156</v>
      </c>
      <c r="J2" s="19" t="s">
        <v>157</v>
      </c>
      <c r="K2" s="33" t="s">
        <v>5</v>
      </c>
      <c r="L2" s="34" t="s">
        <v>6</v>
      </c>
      <c r="M2" s="33" t="s">
        <v>7</v>
      </c>
      <c r="N2" s="33" t="s">
        <v>1</v>
      </c>
      <c r="O2" s="21"/>
    </row>
    <row r="3" spans="1:32" ht="23.25" customHeight="1">
      <c r="A3" s="52" t="s">
        <v>8</v>
      </c>
      <c r="B3" s="50"/>
      <c r="C3" s="50"/>
      <c r="D3" s="51"/>
      <c r="E3" s="3">
        <v>34</v>
      </c>
      <c r="F3" s="12">
        <v>41642.428113425922</v>
      </c>
      <c r="G3" s="12">
        <v>41643.594780092593</v>
      </c>
      <c r="H3" s="12">
        <v>41646.515914351847</v>
      </c>
      <c r="I3" s="58">
        <f>IF(ISNUMBER(MATCH(TRUNC(F3),Праздники,0)),TRUNC(F3)+1+$L$1,TRUNC(F3)+MAX(MOD(F3,1),$L$1))</f>
        <v>41642.428113425922</v>
      </c>
      <c r="J3" s="57">
        <f>IF(ISNUMBER(MATCH(TRUNC(H3),Праздники,0)),TRUNC(H3)-1+$M$1,TRUNC(H3)+MIN(MOD(H3,1),$M$1))-SUMPRODUCT((TRUNC(F3)&lt;Праздники)*(TRUNC(H3)&gt;Праздники))</f>
        <v>41645.875</v>
      </c>
      <c r="K3" s="35">
        <v>16</v>
      </c>
      <c r="L3" s="36">
        <v>50.107222219999997</v>
      </c>
      <c r="M3" s="37">
        <v>3</v>
      </c>
      <c r="N3" s="37">
        <v>102</v>
      </c>
      <c r="O3" s="22">
        <f t="shared" ref="O3:O67" si="0">IF(MID(A3,1,2)="ТО",1,)</f>
        <v>0</v>
      </c>
      <c r="P3" s="27">
        <f>IF(O3=1,((NETWORKDAYS(F3,H3)-1)*($M$1-$L$1)+MIN(MAX(MOD(H3,1),(WEEKDAY(H3,2)&gt;5)*$M$1,$L$1),$M$1)-MIN(MAX(MOD(F3,1)*(WEEKDAY(F3,2)&lt;6),$L$1),$M$1)),(H3-F3)-INT(H3-F3)+(DATEDIF(F3,H3,"d"))*($M$1-$L$1)-"12:22:55")</f>
        <v>1.5718865740731147</v>
      </c>
      <c r="T3" s="9">
        <f>IF(O3=1,((NETWORKDAYS(I3,J3,Праздники)-1)*($M$1-$L$1)+MIN(MAX(MOD(J3,1),(WEEKDAY(J3,2)&gt;5)*$M$1,$L$1),$M$1)-MIN(MAX(MOD(I3,1)*(WEEKDAY(I3,2)&lt;6),$L$1),$M$1)),MAX((TRUNC(J3-I3)-(MOD(J3,1)&gt;MOD(I3,1)))*($M$1-$L$1)+($M$1-MOD(I3,1))+(MOD(J3,1)-$L$1),0))</f>
        <v>1.9468865740782348</v>
      </c>
      <c r="U3" s="59"/>
      <c r="AC3" s="14">
        <f>IF(A3="ТО?",((NETWORKDAYS(F3,H3)-1)*($M$1-$L$1)+MIN(MAX(MOD(H3,1),(WEEKDAY(H3,2)&gt;5)*$M$1,$L$1),$M$1)-MIN(MAX(MOD(F3,1)*(WEEKDAY(F3,2)&lt;6),$L$1),$M$1)),(H3-F3)-INT(H3-F3)+(DATEDIF(F3,H3,"d"))*($M$1-$L$1))</f>
        <v>2.0878009259249666</v>
      </c>
      <c r="AD3" s="8">
        <f t="shared" ref="AD3:AD34" si="1">(H3-F3)-INT(H3-F3)+(NETWORKDAYS(F3,H3)-(NETWORKDAYS(F3,H3)&lt;&gt;0))*($M$1-$L$1)</f>
        <v>1.0878009259249666</v>
      </c>
      <c r="AF3" s="13">
        <f t="shared" ref="AF3:AF34" si="2">(NETWORKDAYS(F3,H3)-1)*($M$1-$L$1)+MIN(MAX(MOD(H3,1),(WEEKDAY(H3,2)&gt;5)*$M$1,$L$1),$M$1)-MIN(MAX(MOD(F3,1)*(WEEKDAY(F3,2)&lt;6),$L$1),$M$1)</f>
        <v>1.0878009259249666</v>
      </c>
    </row>
    <row r="4" spans="1:32" ht="23.25" customHeight="1">
      <c r="A4" s="49" t="s">
        <v>9</v>
      </c>
      <c r="B4" s="50"/>
      <c r="C4" s="50"/>
      <c r="D4" s="51"/>
      <c r="E4" s="4">
        <v>34</v>
      </c>
      <c r="F4" s="12">
        <v>41644.774594907409</v>
      </c>
      <c r="G4" s="12">
        <v>41646.441261574073</v>
      </c>
      <c r="H4" s="12">
        <v>41648.676203703704</v>
      </c>
      <c r="I4" s="58">
        <f>IF(ISNUMBER(MATCH(TRUNC(F4),Праздники,0)),TRUNC(F4)+1+$L$1,TRUNC(F4)+MAX(MOD(F4,1),$L$1))</f>
        <v>41644.774594907409</v>
      </c>
      <c r="J4" s="57">
        <f>IF(ISNUMBER(MATCH(TRUNC(H4),Праздники,0)),TRUNC(H4)-1+$M$1,TRUNC(H4)+MIN(MOD(H4,1),$M$1))-SUMPRODUCT((TRUNC(F4)&lt;Праздники)*(TRUNC(H4)&gt;Праздники))</f>
        <v>41647.676203703704</v>
      </c>
      <c r="K4" s="38">
        <v>16</v>
      </c>
      <c r="L4" s="39">
        <v>45.638611109999999</v>
      </c>
      <c r="M4" s="40">
        <v>2</v>
      </c>
      <c r="N4" s="40">
        <v>68</v>
      </c>
      <c r="O4" s="22">
        <f t="shared" si="0"/>
        <v>0</v>
      </c>
      <c r="P4" s="27">
        <f>IF(O4=1,((NETWORKDAYS(F4,H4)-1)*($M$1-$L$1)+MIN(MAX(MOD(H4,1),(WEEKDAY(H4,2)&gt;5)*$M$1,$L$1),$M$1)-MIN(MAX(MOD(F4,1)*(WEEKDAY(F4,2)&lt;6),$L$1),$M$1)),(H4-F4)-INT(H4-F4)+(DATEDIF(F4,H4,"d"))*($M$1-$L$1)-"24:00")</f>
        <v>1.9016087962954771</v>
      </c>
      <c r="Q4" s="6">
        <f>DAY(F4)</f>
        <v>5</v>
      </c>
      <c r="R4" s="6">
        <f>HOUR(F4)</f>
        <v>18</v>
      </c>
      <c r="S4" s="6">
        <f>MINUTE(F4)</f>
        <v>35</v>
      </c>
      <c r="T4" s="9">
        <f>IF(O4=1,((NETWORKDAYS(I4,J4,Праздники)-1)*($M$1-$L$1)+MIN(MAX(MOD(J4,1),(WEEKDAY(J4,2)&gt;5)*$M$1,$L$1),$M$1)-MIN(MAX(MOD(I4,1)*(WEEKDAY(I4,2)&lt;6),$L$1),$M$1)),MAX((TRUNC(J4-I4)-(MOD(J4,1)&gt;MOD(I4,1)))*($M$1-$L$1)+($M$1-MOD(I4,1))+(MOD(J4,1)-$L$1),0))</f>
        <v>1.4016087962954771</v>
      </c>
      <c r="U4" s="6"/>
      <c r="V4" s="6"/>
      <c r="W4" s="6"/>
      <c r="X4" s="6"/>
      <c r="Y4" s="6"/>
      <c r="Z4" s="6"/>
      <c r="AA4" s="6"/>
      <c r="AB4" s="6"/>
      <c r="AC4" s="14">
        <f>IF(A4="ТО?",((NETWORKDAYS(F4,H4)-1)*($M$1-$L$1)+MIN(MAX(MOD(H4,1),(WEEKDAY(H4,2)&gt;5)*$M$1,$L$1),$M$1)-MIN(MAX(MOD(F4,1)*(WEEKDAY(F4,2)&lt;6),$L$1),$M$1)),(H4-F4)-INT(H4-F4)+(DATEDIF(F4,H4,"d"))*($M$1-$L$1)-"24:00")</f>
        <v>1.9016087962954771</v>
      </c>
      <c r="AD4" s="8">
        <f t="shared" si="1"/>
        <v>2.4016087962954771</v>
      </c>
      <c r="AF4" s="13">
        <f t="shared" si="2"/>
        <v>1.8012037037042319</v>
      </c>
    </row>
    <row r="5" spans="1:32" ht="23.25" customHeight="1">
      <c r="A5" s="52" t="s">
        <v>10</v>
      </c>
      <c r="B5" s="50"/>
      <c r="C5" s="50"/>
      <c r="D5" s="51"/>
      <c r="E5" s="3">
        <v>34</v>
      </c>
      <c r="F5" s="12">
        <v>41643.34847222222</v>
      </c>
      <c r="G5" s="12">
        <v>41643.681805555556</v>
      </c>
      <c r="H5" s="12">
        <v>41643.40420138889</v>
      </c>
      <c r="I5" s="58">
        <f>IF(ISNUMBER(MATCH(TRUNC(F5),Праздники,0)),TRUNC(F5)+1+$L$1,TRUNC(F5)+MAX(MOD(F5,1),$L$1))</f>
        <v>41643.375</v>
      </c>
      <c r="J5" s="57">
        <f>IF(ISNUMBER(MATCH(TRUNC(H5),Праздники,0)),TRUNC(H5)-1+$M$1,TRUNC(H5)+MIN(MOD(H5,1),$M$1))-SUMPRODUCT((TRUNC(F5)&lt;Праздники)*(TRUNC(H5)&gt;Праздники))</f>
        <v>41643.40420138889</v>
      </c>
      <c r="K5" s="41">
        <v>8</v>
      </c>
      <c r="L5" s="42">
        <v>1.3374999999999999</v>
      </c>
      <c r="M5" s="37">
        <v>0</v>
      </c>
      <c r="N5" s="37">
        <v>0</v>
      </c>
      <c r="O5" s="22">
        <f t="shared" si="0"/>
        <v>0</v>
      </c>
      <c r="P5" s="28">
        <f>IF(O5=1,((NETWORKDAYS(F5,H5)-1)*($M$1-$L$1)+MIN(MAX(MOD(H5,1),(WEEKDAY(H5,2)&gt;5)*$M$1,$L$1),$M$1)-MIN(MAX(MOD(F5,1)*(WEEKDAY(F5,2)&lt;6),$L$1),$M$1)),(H5-F5)-"00:38:12"-INT(H5-F5)+(DATEDIF(F5,H5,"d"))*($M$1-$L$1))</f>
        <v>2.9201388892284335E-2</v>
      </c>
      <c r="Q5" s="6">
        <f t="shared" ref="Q5:Q68" si="3">DAY(F5)</f>
        <v>4</v>
      </c>
      <c r="R5" s="6">
        <f t="shared" ref="R5:R68" si="4">HOUR(F5)</f>
        <v>8</v>
      </c>
      <c r="S5" s="6">
        <f t="shared" ref="S5:S68" si="5">MINUTE(F5)</f>
        <v>21</v>
      </c>
      <c r="T5" s="9">
        <f>IF(O5=1,((NETWORKDAYS(I5,J5,Праздники)-1)*($M$1-$L$1)+MIN(MAX(MOD(J5,1),(WEEKDAY(J5,2)&gt;5)*$M$1,$L$1),$M$1)-MIN(MAX(MOD(I5,1)*(WEEKDAY(I5,2)&lt;6),$L$1),$M$1)),MAX((TRUNC(J5-I5)-(MOD(J5,1)&gt;MOD(I5,1)))*($M$1-$L$1)+($M$1-MOD(I5,1))+(MOD(J5,1)-$L$1),0))</f>
        <v>2.920138889021473E-2</v>
      </c>
      <c r="U5" s="6"/>
      <c r="V5" s="6"/>
      <c r="W5" s="6"/>
      <c r="X5" s="6"/>
      <c r="Y5" s="6"/>
      <c r="Z5" s="6"/>
      <c r="AA5" s="6"/>
      <c r="AB5" s="6"/>
      <c r="AC5" s="15">
        <f>IF(A5="ТО?",((NETWORKDAYS(F5,H5)-1)*($M$1-$L$1)+MIN(MAX(MOD(H5,1),(WEEKDAY(H5,2)&gt;5)*$M$1,$L$1),$M$1)-MIN(MAX(MOD(F5,1)*(WEEKDAY(F5,2)&lt;6),$L$1),$M$1)),(H5-F5)-INT(H5-F5)+(DATEDIF(F5,H5,"d"))*($M$1-$L$1))</f>
        <v>5.5729166670062114E-2</v>
      </c>
      <c r="AD5" s="16">
        <f t="shared" si="1"/>
        <v>5.5729166670062114E-2</v>
      </c>
      <c r="AE5" s="17"/>
      <c r="AF5" s="18">
        <f t="shared" si="2"/>
        <v>0</v>
      </c>
    </row>
    <row r="6" spans="1:32" ht="23.25" customHeight="1">
      <c r="A6" s="49" t="s">
        <v>10</v>
      </c>
      <c r="B6" s="50"/>
      <c r="C6" s="50"/>
      <c r="D6" s="51"/>
      <c r="E6" s="4">
        <v>34</v>
      </c>
      <c r="F6" s="12">
        <v>41644.459131944444</v>
      </c>
      <c r="G6" s="12">
        <v>41645.625798611109</v>
      </c>
      <c r="H6" s="12">
        <v>41645.376736111109</v>
      </c>
      <c r="I6" s="58">
        <f>IF(ISNUMBER(MATCH(TRUNC(F6),Праздники,0)),TRUNC(F6)+1+$L$1,TRUNC(F6)+MAX(MOD(F6,1),$L$1))</f>
        <v>41644.459131944444</v>
      </c>
      <c r="J6" s="57">
        <f>IF(ISNUMBER(MATCH(TRUNC(H6),Праздники,0)),TRUNC(H6)-1+$M$1,TRUNC(H6)+MIN(MOD(H6,1),$M$1))-SUMPRODUCT((TRUNC(F6)&lt;Праздники)*(TRUNC(H6)&gt;Праздники))</f>
        <v>41645.376736111109</v>
      </c>
      <c r="K6" s="43">
        <v>16</v>
      </c>
      <c r="L6" s="39">
        <v>10.022500000000001</v>
      </c>
      <c r="M6" s="40">
        <v>0</v>
      </c>
      <c r="N6" s="40">
        <v>0</v>
      </c>
      <c r="O6" s="22">
        <f t="shared" si="0"/>
        <v>0</v>
      </c>
      <c r="P6" s="28">
        <f>IF(O6=1,((NETWORKDAYS(F6,H6)-1)*($M$1-$L$1)+MIN(MAX(MOD(H6,1),(WEEKDAY(H6,2)&gt;5)*$M$1,$L$1),$M$1)-MIN(MAX(MOD(F6,1)*(WEEKDAY(F6,2)&lt;6),$L$1),$M$1)),(H6-F6)-INT(H6-F6)+(DATEDIF(F6,H6,"d"))*($M$1-$L$1)-"24:00")</f>
        <v>0.41760416666511446</v>
      </c>
      <c r="Q6" s="6">
        <f t="shared" si="3"/>
        <v>5</v>
      </c>
      <c r="R6" s="6">
        <f t="shared" si="4"/>
        <v>11</v>
      </c>
      <c r="S6" s="6">
        <f t="shared" si="5"/>
        <v>1</v>
      </c>
      <c r="T6" s="9">
        <f>IF(O6=1,((NETWORKDAYS(I6,J6,Праздники)-1)*($M$1-$L$1)+MIN(MAX(MOD(J6,1),(WEEKDAY(J6,2)&gt;5)*$M$1,$L$1),$M$1)-MIN(MAX(MOD(I6,1)*(WEEKDAY(I6,2)&lt;6),$L$1),$M$1)),MAX((TRUNC(J6-I6)-(MOD(J6,1)&gt;MOD(I6,1)))*($M$1-$L$1)+($M$1-MOD(I6,1))+(MOD(J6,1)-$L$1),0))</f>
        <v>0.41760416666511446</v>
      </c>
      <c r="U6" s="6"/>
      <c r="V6" s="6"/>
      <c r="W6" s="6"/>
      <c r="X6" s="6"/>
      <c r="Y6" s="6"/>
      <c r="Z6" s="6"/>
      <c r="AA6" s="6"/>
      <c r="AB6" s="6"/>
      <c r="AC6" s="15">
        <f t="shared" ref="AC6:AC37" si="6">IF(A6&gt;="ТО",((NETWORKDAYS(F6,H6)-1)*($M$1-$L$1)+MIN(MAX(MOD(H6,1),(WEEKDAY(H6,2)&gt;5)*$M$1,$L$1),$M$1)-MIN(MAX(MOD(F6,1)*(WEEKDAY(F6,2)&lt;6),$L$1),$M$1)),(H6-F6)-INT(H6-F6)+(DATEDIF(F6,H6,"d"))*($M$1-$L$1))</f>
        <v>1.4176041666651145</v>
      </c>
      <c r="AD6" s="8">
        <f t="shared" si="1"/>
        <v>0.91760416666511446</v>
      </c>
      <c r="AF6" s="13">
        <f t="shared" si="2"/>
        <v>1.7361111094942316E-3</v>
      </c>
    </row>
    <row r="7" spans="1:32" ht="23.25" customHeight="1">
      <c r="A7" s="52" t="s">
        <v>11</v>
      </c>
      <c r="B7" s="50"/>
      <c r="C7" s="50"/>
      <c r="D7" s="51"/>
      <c r="E7" s="3">
        <v>34</v>
      </c>
      <c r="F7" s="12">
        <v>41645.399282407408</v>
      </c>
      <c r="G7" s="12">
        <v>41645.732615740737</v>
      </c>
      <c r="H7" s="12">
        <v>41645.650150462963</v>
      </c>
      <c r="I7" s="58">
        <f>IF(ISNUMBER(MATCH(TRUNC(F7),Праздники,0)),TRUNC(F7)+1+$L$1,TRUNC(F7)+MAX(MOD(F7,1),$L$1))</f>
        <v>41645.399282407408</v>
      </c>
      <c r="J7" s="57">
        <f>IF(ISNUMBER(MATCH(TRUNC(H7),Праздники,0)),TRUNC(H7)-1+$M$1,TRUNC(H7)+MIN(MOD(H7,1),$M$1))-SUMPRODUCT((TRUNC(F7)&lt;Праздники)*(TRUNC(H7)&gt;Праздники))</f>
        <v>41645.650150462963</v>
      </c>
      <c r="K7" s="41">
        <v>8</v>
      </c>
      <c r="L7" s="36">
        <v>6.0208333300000003</v>
      </c>
      <c r="M7" s="37">
        <v>0</v>
      </c>
      <c r="N7" s="37">
        <v>0</v>
      </c>
      <c r="O7" s="22">
        <f t="shared" si="0"/>
        <v>0</v>
      </c>
      <c r="P7" s="28">
        <f>IF(O7=1,((NETWORKDAYS(F7,H7)-1)*($M$1-$L$1)+MIN(MAX(MOD(H7,1),(WEEKDAY(H7,2)&gt;5)*$M$1,$L$1),$M$1)-MIN(MAX(MOD(F7,1)*(WEEKDAY(F7,2)&lt;6),$L$1),$M$1)),(H7-F7)-INT(H7-F7)+(DATEDIF(F7,H7,"d"))*($M$1-$L$1))</f>
        <v>0.25086805555474712</v>
      </c>
      <c r="Q7" s="6">
        <f t="shared" si="3"/>
        <v>6</v>
      </c>
      <c r="R7" s="6">
        <f t="shared" si="4"/>
        <v>9</v>
      </c>
      <c r="S7" s="6">
        <f t="shared" si="5"/>
        <v>34</v>
      </c>
      <c r="T7" s="9">
        <f>IF(O7=1,((NETWORKDAYS(I7,J7,Праздники)-1)*($M$1-$L$1)+MIN(MAX(MOD(J7,1),(WEEKDAY(J7,2)&gt;5)*$M$1,$L$1),$M$1)-MIN(MAX(MOD(I7,1)*(WEEKDAY(I7,2)&lt;6),$L$1),$M$1)),MAX((TRUNC(J7-I7)-(MOD(J7,1)&gt;MOD(I7,1)))*($M$1-$L$1)+($M$1-MOD(I7,1))+(MOD(J7,1)-$L$1),0))</f>
        <v>0.25086805555474712</v>
      </c>
      <c r="U7" s="6"/>
      <c r="V7" s="6"/>
      <c r="W7" s="6"/>
      <c r="X7" s="6"/>
      <c r="Y7" s="6"/>
      <c r="Z7" s="6"/>
      <c r="AA7" s="6"/>
      <c r="AB7" s="6"/>
      <c r="AC7" s="7">
        <f t="shared" si="6"/>
        <v>0.25086805555474712</v>
      </c>
      <c r="AD7" s="8">
        <f t="shared" si="1"/>
        <v>0.25086805555474712</v>
      </c>
      <c r="AF7" s="13">
        <f t="shared" si="2"/>
        <v>0.25086805555474712</v>
      </c>
    </row>
    <row r="8" spans="1:32" ht="23.25" customHeight="1">
      <c r="A8" s="49" t="s">
        <v>12</v>
      </c>
      <c r="B8" s="50"/>
      <c r="C8" s="50"/>
      <c r="D8" s="51"/>
      <c r="E8" s="4">
        <v>34</v>
      </c>
      <c r="F8" s="12">
        <v>41645.526284722218</v>
      </c>
      <c r="G8" s="12">
        <v>41646.69295138889</v>
      </c>
      <c r="H8" s="12">
        <v>41645.894062499996</v>
      </c>
      <c r="I8" s="58">
        <f>IF(ISNUMBER(MATCH(TRUNC(F8),Праздники,0)),TRUNC(F8)+1+$L$1,TRUNC(F8)+MAX(MOD(F8,1),$L$1))</f>
        <v>41645.526284722218</v>
      </c>
      <c r="J8" s="57">
        <f>IF(ISNUMBER(MATCH(TRUNC(H8),Праздники,0)),TRUNC(H8)-1+$M$1,TRUNC(H8)+MIN(MOD(H8,1),$M$1))-SUMPRODUCT((TRUNC(F8)&lt;Праздники)*(TRUNC(H8)&gt;Праздники))</f>
        <v>41645.875</v>
      </c>
      <c r="K8" s="43">
        <v>16</v>
      </c>
      <c r="L8" s="39">
        <v>6.8691666600000003</v>
      </c>
      <c r="M8" s="40">
        <v>0</v>
      </c>
      <c r="N8" s="40">
        <v>0</v>
      </c>
      <c r="O8" s="22">
        <f t="shared" si="0"/>
        <v>0</v>
      </c>
      <c r="P8" s="28">
        <f>IF(O8=1,((NETWORKDAYS(F8,H8)-1)*($M$1-$L$1)+MIN(MAX(MOD(H8,1),(WEEKDAY(H8,2)&gt;5)*$M$1,$L$1),$M$1)-MIN(MAX(MOD(F8,1)*(WEEKDAY(F8,2)&lt;6),$L$1),$M$1)),(H8-F8)-INT(H8-F8)+(DATEDIF(F8,H8,"d"))*($M$1-$L$1)-"00:27:27")</f>
        <v>0.34871527777751909</v>
      </c>
      <c r="Q8" s="6">
        <f t="shared" si="3"/>
        <v>6</v>
      </c>
      <c r="R8" s="6">
        <f t="shared" si="4"/>
        <v>12</v>
      </c>
      <c r="S8" s="6">
        <f t="shared" si="5"/>
        <v>37</v>
      </c>
      <c r="T8" s="9">
        <f>IF(O8=1,((NETWORKDAYS(I8,J8,Праздники)-1)*($M$1-$L$1)+MIN(MAX(MOD(J8,1),(WEEKDAY(J8,2)&gt;5)*$M$1,$L$1),$M$1)-MIN(MAX(MOD(I8,1)*(WEEKDAY(I8,2)&lt;6),$L$1),$M$1)),MAX((TRUNC(J8-I8)-(MOD(J8,1)&gt;MOD(I8,1)))*($M$1-$L$1)+($M$1-MOD(I8,1))+(MOD(J8,1)-$L$1),0))</f>
        <v>0.34871527778159361</v>
      </c>
      <c r="U8" s="6"/>
      <c r="V8" s="6"/>
      <c r="W8" s="6"/>
      <c r="X8" s="6"/>
      <c r="Y8" s="6"/>
      <c r="Z8" s="6"/>
      <c r="AA8" s="6"/>
      <c r="AB8" s="6"/>
      <c r="AC8" s="7">
        <f t="shared" si="6"/>
        <v>0.36777777777751908</v>
      </c>
      <c r="AD8" s="8">
        <f t="shared" si="1"/>
        <v>0.36777777777751908</v>
      </c>
      <c r="AF8" s="13">
        <f t="shared" si="2"/>
        <v>0.34871527778159361</v>
      </c>
    </row>
    <row r="9" spans="1:32" ht="23.25" customHeight="1">
      <c r="A9" s="52" t="s">
        <v>13</v>
      </c>
      <c r="B9" s="50"/>
      <c r="C9" s="50"/>
      <c r="D9" s="51"/>
      <c r="E9" s="3">
        <v>34</v>
      </c>
      <c r="F9" s="12">
        <v>41646.374513888884</v>
      </c>
      <c r="G9" s="12">
        <v>41647.541180555556</v>
      </c>
      <c r="H9" s="12">
        <v>41646.591493055552</v>
      </c>
      <c r="I9" s="58">
        <f>IF(ISNUMBER(MATCH(TRUNC(F9),Праздники,0)),TRUNC(F9)+1+$L$1,TRUNC(F9)+MAX(MOD(F9,1),$L$1))</f>
        <v>41647.375</v>
      </c>
      <c r="J9" s="57">
        <f>IF(ISNUMBER(MATCH(TRUNC(H9),Праздники,0)),TRUNC(H9)-1+$M$1,TRUNC(H9)+MIN(MOD(H9,1),$M$1))-SUMPRODUCT((TRUNC(F9)&lt;Праздники)*(TRUNC(H9)&gt;Праздники))</f>
        <v>41645.875</v>
      </c>
      <c r="K9" s="41">
        <v>16</v>
      </c>
      <c r="L9" s="36">
        <v>5.2074999999999996</v>
      </c>
      <c r="M9" s="37">
        <v>0</v>
      </c>
      <c r="N9" s="37">
        <v>0</v>
      </c>
      <c r="O9" s="22">
        <f t="shared" si="0"/>
        <v>0</v>
      </c>
      <c r="P9" s="28">
        <v>0</v>
      </c>
      <c r="Q9" s="6">
        <f t="shared" si="3"/>
        <v>7</v>
      </c>
      <c r="R9" s="6">
        <f t="shared" si="4"/>
        <v>8</v>
      </c>
      <c r="S9" s="6">
        <f t="shared" si="5"/>
        <v>59</v>
      </c>
      <c r="T9" s="9">
        <f>IF(O9=1,((NETWORKDAYS(I9,J9,Праздники)-1)*($M$1-$L$1)+MIN(MAX(MOD(J9,1),(WEEKDAY(J9,2)&gt;5)*$M$1,$L$1),$M$1)-MIN(MAX(MOD(I9,1)*(WEEKDAY(I9,2)&lt;6),$L$1),$M$1)),MAX((TRUNC(J9-I9)-(MOD(J9,1)&gt;MOD(I9,1)))*($M$1-$L$1)+($M$1-MOD(I9,1))+(MOD(J9,1)-$L$1),0))</f>
        <v>0</v>
      </c>
      <c r="U9" s="6"/>
      <c r="V9" s="6"/>
      <c r="W9" s="6"/>
      <c r="X9" s="6"/>
      <c r="Y9" s="6"/>
      <c r="Z9" s="6"/>
      <c r="AA9" s="6"/>
      <c r="AB9" s="6"/>
      <c r="AC9" s="7">
        <f t="shared" si="6"/>
        <v>0.21697916666744277</v>
      </c>
      <c r="AD9" s="8">
        <f t="shared" si="1"/>
        <v>0.21697916666744277</v>
      </c>
      <c r="AF9" s="13">
        <f t="shared" si="2"/>
        <v>0.21649305555183673</v>
      </c>
    </row>
    <row r="10" spans="1:32" ht="23.25" customHeight="1">
      <c r="A10" s="49" t="s">
        <v>134</v>
      </c>
      <c r="B10" s="50"/>
      <c r="C10" s="50"/>
      <c r="D10" s="51"/>
      <c r="E10" s="4">
        <v>18</v>
      </c>
      <c r="F10" s="12">
        <v>41646.514525462961</v>
      </c>
      <c r="G10" s="12">
        <v>41649.347858796296</v>
      </c>
      <c r="H10" s="12">
        <v>41648.652569444443</v>
      </c>
      <c r="I10" s="58">
        <f>IF(ISNUMBER(MATCH(TRUNC(F10),Праздники,0)),TRUNC(F10)+1+$L$1,TRUNC(F10)+MAX(MOD(F10,1),$L$1))</f>
        <v>41647.375</v>
      </c>
      <c r="J10" s="57">
        <f>IF(ISNUMBER(MATCH(TRUNC(H10),Праздники,0)),TRUNC(H10)-1+$M$1,TRUNC(H10)+MIN(MOD(H10,1),$M$1))-SUMPRODUCT((TRUNC(F10)&lt;Праздники)*(TRUNC(H10)&gt;Праздники))</f>
        <v>41648.652569444443</v>
      </c>
      <c r="K10" s="43">
        <v>32</v>
      </c>
      <c r="L10" s="39">
        <v>27.313055550000001</v>
      </c>
      <c r="M10" s="40">
        <v>0</v>
      </c>
      <c r="N10" s="40">
        <v>0</v>
      </c>
      <c r="O10" s="22">
        <f t="shared" si="0"/>
        <v>0</v>
      </c>
      <c r="P10" s="28">
        <f>IF(O10=1,((NETWORKDAYS(F10,H10)-1)*($M$1-$L$1)+MIN(MAX(MOD(H10,1),(WEEKDAY(H10,2)&gt;5)*$M$1,$L$1),$M$1)-MIN(MAX(MOD(F10,1)*(WEEKDAY(F10,2)&lt;6),$L$1),$M$1)),(H10-F10-"08:39:05")-INT(H10-F10)+(DATEDIF(F10,H10,"d"))*($M$1-$L$1))</f>
        <v>0.77756944444500498</v>
      </c>
      <c r="Q10" s="6">
        <f t="shared" si="3"/>
        <v>7</v>
      </c>
      <c r="R10" s="6">
        <f t="shared" si="4"/>
        <v>12</v>
      </c>
      <c r="S10" s="6">
        <f t="shared" si="5"/>
        <v>20</v>
      </c>
      <c r="T10" s="9">
        <f>IF(O10=1,((NETWORKDAYS(I10,J10,Праздники)-1)*($M$1-$L$1)+MIN(MAX(MOD(J10,1),(WEEKDAY(J10,2)&gt;5)*$M$1,$L$1),$M$1)-MIN(MAX(MOD(I10,1)*(WEEKDAY(I10,2)&lt;6),$L$1),$M$1)),MAX((TRUNC(J10-I10)-(MOD(J10,1)&gt;MOD(I10,1)))*($M$1-$L$1)+($M$1-MOD(I10,1))+(MOD(J10,1)-$L$1),0))</f>
        <v>0.77756944444263354</v>
      </c>
      <c r="U10" s="6"/>
      <c r="V10" s="6"/>
      <c r="W10" s="6"/>
      <c r="X10" s="6"/>
      <c r="Y10" s="6"/>
      <c r="Z10" s="6"/>
      <c r="AA10" s="6"/>
      <c r="AB10" s="6"/>
      <c r="AC10" s="7">
        <f t="shared" si="6"/>
        <v>1.138043981482042</v>
      </c>
      <c r="AD10" s="8">
        <f t="shared" si="1"/>
        <v>1.138043981482042</v>
      </c>
      <c r="AF10" s="13">
        <f t="shared" si="2"/>
        <v>1.138043981482042</v>
      </c>
    </row>
    <row r="11" spans="1:32" ht="23.25" customHeight="1">
      <c r="A11" s="52" t="s">
        <v>14</v>
      </c>
      <c r="B11" s="50"/>
      <c r="C11" s="50"/>
      <c r="D11" s="51"/>
      <c r="E11" s="3">
        <v>34</v>
      </c>
      <c r="F11" s="12">
        <v>41649.316249999996</v>
      </c>
      <c r="G11" s="12">
        <v>41650.482916666668</v>
      </c>
      <c r="H11" s="12">
        <v>41649.434861111113</v>
      </c>
      <c r="I11" s="58">
        <f>IF(ISNUMBER(MATCH(TRUNC(F11),Праздники,0)),TRUNC(F11)+1+$L$1,TRUNC(F11)+MAX(MOD(F11,1),$L$1))</f>
        <v>41649.375</v>
      </c>
      <c r="J11" s="57">
        <f>IF(ISNUMBER(MATCH(TRUNC(H11),Праздники,0)),TRUNC(H11)-1+$M$1,TRUNC(H11)+MIN(MOD(H11,1),$M$1))-SUMPRODUCT((TRUNC(F11)&lt;Праздники)*(TRUNC(H11)&gt;Праздники))</f>
        <v>41649.434861111113</v>
      </c>
      <c r="K11" s="41">
        <v>16</v>
      </c>
      <c r="L11" s="36">
        <v>2.8466666599999999</v>
      </c>
      <c r="M11" s="37">
        <v>0</v>
      </c>
      <c r="N11" s="37">
        <v>0</v>
      </c>
      <c r="O11" s="22">
        <f t="shared" si="0"/>
        <v>0</v>
      </c>
      <c r="P11" s="28">
        <f t="shared" ref="P11:P32" si="7">IF(O11=1,((NETWORKDAYS(F11,H11)-1)*($M$1-$L$1)+MIN(MAX(MOD(H11,1),(WEEKDAY(H11,2)&gt;5)*$M$1,$L$1),$M$1)-MIN(MAX(MOD(F11,1)*(WEEKDAY(F11,2)&lt;6),$L$1),$M$1)),(H11-F11)-INT(H11-F11)+(DATEDIF(F11,H11,"d"))*($M$1-$L$1))</f>
        <v>0.11861111111647915</v>
      </c>
      <c r="Q11" s="6">
        <f t="shared" si="3"/>
        <v>10</v>
      </c>
      <c r="R11" s="6">
        <f t="shared" si="4"/>
        <v>7</v>
      </c>
      <c r="S11" s="6">
        <f t="shared" si="5"/>
        <v>35</v>
      </c>
      <c r="T11" s="9">
        <f>IF(O11=1,((NETWORKDAYS(I11,J11,Праздники)-1)*($M$1-$L$1)+MIN(MAX(MOD(J11,1),(WEEKDAY(J11,2)&gt;5)*$M$1,$L$1),$M$1)-MIN(MAX(MOD(I11,1)*(WEEKDAY(I11,2)&lt;6),$L$1),$M$1)),MAX((TRUNC(J11-I11)-(MOD(J11,1)&gt;MOD(I11,1)))*($M$1-$L$1)+($M$1-MOD(I11,1))+(MOD(J11,1)-$L$1),0))</f>
        <v>5.9861111112695653E-2</v>
      </c>
      <c r="U11" s="6"/>
      <c r="V11" s="6"/>
      <c r="W11" s="6"/>
      <c r="X11" s="6"/>
      <c r="Y11" s="6"/>
      <c r="Z11" s="6"/>
      <c r="AA11" s="6"/>
      <c r="AB11" s="6"/>
      <c r="AC11" s="7">
        <f t="shared" si="6"/>
        <v>0.11861111111647915</v>
      </c>
      <c r="AD11" s="8">
        <f t="shared" si="1"/>
        <v>0.11861111111647915</v>
      </c>
      <c r="AF11" s="13">
        <f t="shared" si="2"/>
        <v>5.9861111112695653E-2</v>
      </c>
    </row>
    <row r="12" spans="1:32" ht="23.25" customHeight="1">
      <c r="A12" s="49" t="s">
        <v>15</v>
      </c>
      <c r="B12" s="50"/>
      <c r="C12" s="50"/>
      <c r="D12" s="51"/>
      <c r="E12" s="4">
        <v>34</v>
      </c>
      <c r="F12" s="12">
        <v>41652.529085648144</v>
      </c>
      <c r="G12" s="12">
        <v>41653.36241898148</v>
      </c>
      <c r="H12" s="12">
        <v>41652.549085648148</v>
      </c>
      <c r="I12" s="58">
        <f>IF(ISNUMBER(MATCH(TRUNC(F12),Праздники,0)),TRUNC(F12)+1+$L$1,TRUNC(F12)+MAX(MOD(F12,1),$L$1))</f>
        <v>41652.529085648144</v>
      </c>
      <c r="J12" s="57">
        <f>IF(ISNUMBER(MATCH(TRUNC(H12),Праздники,0)),TRUNC(H12)-1+$M$1,TRUNC(H12)+MIN(MOD(H12,1),$M$1))-SUMPRODUCT((TRUNC(F12)&lt;Праздники)*(TRUNC(H12)&gt;Праздники))</f>
        <v>41652.549085648148</v>
      </c>
      <c r="K12" s="43">
        <v>8</v>
      </c>
      <c r="L12" s="39">
        <v>0.48</v>
      </c>
      <c r="M12" s="40">
        <v>0</v>
      </c>
      <c r="N12" s="40">
        <v>0</v>
      </c>
      <c r="O12" s="22">
        <f t="shared" si="0"/>
        <v>0</v>
      </c>
      <c r="P12" s="28">
        <f t="shared" si="7"/>
        <v>2.0000000004074536E-2</v>
      </c>
      <c r="Q12" s="6">
        <f t="shared" si="3"/>
        <v>13</v>
      </c>
      <c r="R12" s="6">
        <f t="shared" si="4"/>
        <v>12</v>
      </c>
      <c r="S12" s="6">
        <f t="shared" si="5"/>
        <v>41</v>
      </c>
      <c r="T12" s="9">
        <f>IF(O12=1,((NETWORKDAYS(I12,J12,Праздники)-1)*($M$1-$L$1)+MIN(MAX(MOD(J12,1),(WEEKDAY(J12,2)&gt;5)*$M$1,$L$1),$M$1)-MIN(MAX(MOD(I12,1)*(WEEKDAY(I12,2)&lt;6),$L$1),$M$1)),MAX((TRUNC(J12-I12)-(MOD(J12,1)&gt;MOD(I12,1)))*($M$1-$L$1)+($M$1-MOD(I12,1))+(MOD(J12,1)-$L$1),0))</f>
        <v>2.0000000004074536E-2</v>
      </c>
      <c r="U12" s="6"/>
      <c r="V12" s="6"/>
      <c r="W12" s="6"/>
      <c r="X12" s="6"/>
      <c r="Y12" s="6"/>
      <c r="Z12" s="6"/>
      <c r="AA12" s="6"/>
      <c r="AB12" s="6"/>
      <c r="AC12" s="7">
        <f t="shared" si="6"/>
        <v>2.0000000004074536E-2</v>
      </c>
      <c r="AD12" s="8">
        <f t="shared" si="1"/>
        <v>2.0000000004074536E-2</v>
      </c>
      <c r="AF12" s="13">
        <f t="shared" si="2"/>
        <v>2.0000000004074536E-2</v>
      </c>
    </row>
    <row r="13" spans="1:32" ht="23.25" customHeight="1">
      <c r="A13" s="52" t="s">
        <v>28</v>
      </c>
      <c r="B13" s="50"/>
      <c r="C13" s="50"/>
      <c r="D13" s="51"/>
      <c r="E13" s="3">
        <v>18</v>
      </c>
      <c r="F13" s="12">
        <v>41649.396087962959</v>
      </c>
      <c r="G13" s="12">
        <v>41670.396087962959</v>
      </c>
      <c r="H13" s="12">
        <v>41652.566886574074</v>
      </c>
      <c r="I13" s="58">
        <f>IF(ISNUMBER(MATCH(TRUNC(F13),Праздники,0)),TRUNC(F13)+1+$L$1,TRUNC(F13)+MAX(MOD(F13,1),$L$1))</f>
        <v>41649.396087962959</v>
      </c>
      <c r="J13" s="57">
        <f>IF(ISNUMBER(MATCH(TRUNC(H13),Праздники,0)),TRUNC(H13)-1+$M$1,TRUNC(H13)+MIN(MOD(H13,1),$M$1))-SUMPRODUCT((TRUNC(F13)&lt;Праздники)*(TRUNC(H13)&gt;Праздники))</f>
        <v>41652.566886574074</v>
      </c>
      <c r="K13" s="41">
        <v>504</v>
      </c>
      <c r="L13" s="42">
        <v>76.099166659999995</v>
      </c>
      <c r="M13" s="37">
        <v>0</v>
      </c>
      <c r="N13" s="37">
        <v>0</v>
      </c>
      <c r="O13" s="22">
        <f t="shared" si="0"/>
        <v>1</v>
      </c>
      <c r="P13" s="28">
        <f t="shared" si="7"/>
        <v>0.67079861111415084</v>
      </c>
      <c r="Q13" s="6">
        <f t="shared" si="3"/>
        <v>10</v>
      </c>
      <c r="R13" s="6">
        <f t="shared" si="4"/>
        <v>9</v>
      </c>
      <c r="S13" s="6">
        <f t="shared" si="5"/>
        <v>30</v>
      </c>
      <c r="T13" s="9">
        <f>IF(O13=1,((NETWORKDAYS(I13,J13,Праздники)-1)*($M$1-$L$1)+MIN(MAX(MOD(J13,1),(WEEKDAY(J13,2)&gt;5)*$M$1,$L$1),$M$1)-MIN(MAX(MOD(I13,1)*(WEEKDAY(I13,2)&lt;6),$L$1),$M$1)),MAX((TRUNC(J13-I13)-(MOD(J13,1)&gt;MOD(I13,1)))*($M$1-$L$1)+($M$1-MOD(I13,1))+(MOD(J13,1)-$L$1),0))</f>
        <v>0.67079861111415084</v>
      </c>
      <c r="U13" s="30"/>
      <c r="V13" s="6"/>
      <c r="W13" s="6"/>
      <c r="X13" s="6"/>
      <c r="Y13" s="6"/>
      <c r="Z13" s="6"/>
      <c r="AA13" s="6"/>
      <c r="AB13" s="6"/>
      <c r="AC13" s="7">
        <f t="shared" si="6"/>
        <v>0.67079861111415084</v>
      </c>
      <c r="AD13" s="8">
        <f t="shared" si="1"/>
        <v>0.67079861111415084</v>
      </c>
      <c r="AF13" s="13">
        <f t="shared" si="2"/>
        <v>0.67079861111415084</v>
      </c>
    </row>
    <row r="14" spans="1:32" ht="23.25" customHeight="1">
      <c r="A14" s="49" t="s">
        <v>29</v>
      </c>
      <c r="B14" s="50"/>
      <c r="C14" s="50"/>
      <c r="D14" s="51"/>
      <c r="E14" s="4">
        <v>18</v>
      </c>
      <c r="F14" s="12">
        <v>41649.402881944443</v>
      </c>
      <c r="G14" s="12">
        <v>41670.402881944443</v>
      </c>
      <c r="H14" s="12">
        <v>41652.571597222217</v>
      </c>
      <c r="I14" s="58">
        <f>IF(ISNUMBER(MATCH(TRUNC(F14),Праздники,0)),TRUNC(F14)+1+$L$1,TRUNC(F14)+MAX(MOD(F14,1),$L$1))</f>
        <v>41649.402881944443</v>
      </c>
      <c r="J14" s="57">
        <f>IF(ISNUMBER(MATCH(TRUNC(H14),Праздники,0)),TRUNC(H14)-1+$M$1,TRUNC(H14)+MIN(MOD(H14,1),$M$1))-SUMPRODUCT((TRUNC(F14)&lt;Праздники)*(TRUNC(H14)&gt;Праздники))</f>
        <v>41652.571597222217</v>
      </c>
      <c r="K14" s="43">
        <v>504</v>
      </c>
      <c r="L14" s="44">
        <v>76.049166659999997</v>
      </c>
      <c r="M14" s="40">
        <v>0</v>
      </c>
      <c r="N14" s="40">
        <v>0</v>
      </c>
      <c r="O14" s="22">
        <f t="shared" si="0"/>
        <v>1</v>
      </c>
      <c r="P14" s="28">
        <f t="shared" si="7"/>
        <v>0.66871527777402662</v>
      </c>
      <c r="Q14" s="6">
        <f t="shared" si="3"/>
        <v>10</v>
      </c>
      <c r="R14" s="6">
        <f t="shared" si="4"/>
        <v>9</v>
      </c>
      <c r="S14" s="6">
        <f t="shared" si="5"/>
        <v>40</v>
      </c>
      <c r="T14" s="9">
        <f>IF(O14=1,((NETWORKDAYS(I14,J14,Праздники)-1)*($M$1-$L$1)+MIN(MAX(MOD(J14,1),(WEEKDAY(J14,2)&gt;5)*$M$1,$L$1),$M$1)-MIN(MAX(MOD(I14,1)*(WEEKDAY(I14,2)&lt;6),$L$1),$M$1)),MAX((TRUNC(J14-I14)-(MOD(J14,1)&gt;MOD(I14,1)))*($M$1-$L$1)+($M$1-MOD(I14,1))+(MOD(J14,1)-$L$1),0))</f>
        <v>0.66871527777402662</v>
      </c>
      <c r="U14" s="6"/>
      <c r="V14" s="6"/>
      <c r="W14" s="6"/>
      <c r="X14" s="6"/>
      <c r="Y14" s="6"/>
      <c r="Z14" s="6"/>
      <c r="AA14" s="6"/>
      <c r="AB14" s="6"/>
      <c r="AC14" s="7">
        <f t="shared" si="6"/>
        <v>0.66871527777402662</v>
      </c>
      <c r="AD14" s="8">
        <f t="shared" si="1"/>
        <v>0.66871527777402662</v>
      </c>
      <c r="AF14" s="13">
        <f t="shared" si="2"/>
        <v>0.66871527777402662</v>
      </c>
    </row>
    <row r="15" spans="1:32" ht="23.25" customHeight="1">
      <c r="A15" s="52" t="s">
        <v>30</v>
      </c>
      <c r="B15" s="50"/>
      <c r="C15" s="50"/>
      <c r="D15" s="51"/>
      <c r="E15" s="3">
        <v>18</v>
      </c>
      <c r="F15" s="12">
        <v>41649.368912037033</v>
      </c>
      <c r="G15" s="12">
        <v>41670.368912037033</v>
      </c>
      <c r="H15" s="12">
        <v>41652.584618055553</v>
      </c>
      <c r="I15" s="58">
        <f>IF(ISNUMBER(MATCH(TRUNC(F15),Праздники,0)),TRUNC(F15)+1+$L$1,TRUNC(F15)+MAX(MOD(F15,1),$L$1))</f>
        <v>41649.375</v>
      </c>
      <c r="J15" s="57">
        <f>IF(ISNUMBER(MATCH(TRUNC(H15),Праздники,0)),TRUNC(H15)-1+$M$1,TRUNC(H15)+MIN(MOD(H15,1),$M$1))-SUMPRODUCT((TRUNC(F15)&lt;Праздники)*(TRUNC(H15)&gt;Праздники))</f>
        <v>41652.584618055553</v>
      </c>
      <c r="K15" s="41">
        <v>504</v>
      </c>
      <c r="L15" s="42">
        <v>77.17694444</v>
      </c>
      <c r="M15" s="37">
        <v>0</v>
      </c>
      <c r="N15" s="37">
        <v>0</v>
      </c>
      <c r="O15" s="22">
        <f t="shared" si="0"/>
        <v>1</v>
      </c>
      <c r="P15" s="28">
        <f t="shared" si="7"/>
        <v>0.70961805555270985</v>
      </c>
      <c r="Q15" s="6">
        <f t="shared" si="3"/>
        <v>10</v>
      </c>
      <c r="R15" s="6">
        <f t="shared" si="4"/>
        <v>8</v>
      </c>
      <c r="S15" s="6">
        <f t="shared" si="5"/>
        <v>51</v>
      </c>
      <c r="T15" s="9">
        <f>IF(O15=1,((NETWORKDAYS(I15,J15,Праздники)-1)*($M$1-$L$1)+MIN(MAX(MOD(J15,1),(WEEKDAY(J15,2)&gt;5)*$M$1,$L$1),$M$1)-MIN(MAX(MOD(I15,1)*(WEEKDAY(I15,2)&lt;6),$L$1),$M$1)),MAX((TRUNC(J15-I15)-(MOD(J15,1)&gt;MOD(I15,1)))*($M$1-$L$1)+($M$1-MOD(I15,1))+(MOD(J15,1)-$L$1),0))</f>
        <v>0.70961805555270985</v>
      </c>
      <c r="U15" s="6"/>
      <c r="V15" s="6"/>
      <c r="W15" s="6"/>
      <c r="X15" s="6"/>
      <c r="Y15" s="6"/>
      <c r="Z15" s="6"/>
      <c r="AA15" s="6"/>
      <c r="AB15" s="6"/>
      <c r="AC15" s="7">
        <f t="shared" si="6"/>
        <v>0.70961805555270985</v>
      </c>
      <c r="AD15" s="8">
        <f t="shared" si="1"/>
        <v>0.71570601851999527</v>
      </c>
      <c r="AF15" s="13">
        <f t="shared" si="2"/>
        <v>0.70961805555270985</v>
      </c>
    </row>
    <row r="16" spans="1:32" ht="23.25" customHeight="1">
      <c r="A16" s="49" t="s">
        <v>31</v>
      </c>
      <c r="B16" s="50"/>
      <c r="C16" s="50"/>
      <c r="D16" s="51"/>
      <c r="E16" s="4">
        <v>18</v>
      </c>
      <c r="F16" s="12">
        <v>41649.363703703704</v>
      </c>
      <c r="G16" s="12">
        <v>41670.363703703704</v>
      </c>
      <c r="H16" s="12">
        <v>41652.588761574072</v>
      </c>
      <c r="I16" s="58">
        <f>IF(ISNUMBER(MATCH(TRUNC(F16),Праздники,0)),TRUNC(F16)+1+$L$1,TRUNC(F16)+MAX(MOD(F16,1),$L$1))</f>
        <v>41649.375</v>
      </c>
      <c r="J16" s="57">
        <f>IF(ISNUMBER(MATCH(TRUNC(H16),Праздники,0)),TRUNC(H16)-1+$M$1,TRUNC(H16)+MIN(MOD(H16,1),$M$1))-SUMPRODUCT((TRUNC(F16)&lt;Праздники)*(TRUNC(H16)&gt;Праздники))</f>
        <v>41652.588761574072</v>
      </c>
      <c r="K16" s="43">
        <v>504</v>
      </c>
      <c r="L16" s="44">
        <v>77.401388879999999</v>
      </c>
      <c r="M16" s="40">
        <v>0</v>
      </c>
      <c r="N16" s="40">
        <v>0</v>
      </c>
      <c r="O16" s="22">
        <f t="shared" si="0"/>
        <v>1</v>
      </c>
      <c r="P16" s="28">
        <f t="shared" si="7"/>
        <v>0.71376157407212304</v>
      </c>
      <c r="Q16" s="6">
        <f t="shared" si="3"/>
        <v>10</v>
      </c>
      <c r="R16" s="6">
        <f t="shared" si="4"/>
        <v>8</v>
      </c>
      <c r="S16" s="6">
        <f t="shared" si="5"/>
        <v>43</v>
      </c>
      <c r="T16" s="9">
        <f>IF(O16=1,((NETWORKDAYS(I16,J16,Праздники)-1)*($M$1-$L$1)+MIN(MAX(MOD(J16,1),(WEEKDAY(J16,2)&gt;5)*$M$1,$L$1),$M$1)-MIN(MAX(MOD(I16,1)*(WEEKDAY(I16,2)&lt;6),$L$1),$M$1)),MAX((TRUNC(J16-I16)-(MOD(J16,1)&gt;MOD(I16,1)))*($M$1-$L$1)+($M$1-MOD(I16,1))+(MOD(J16,1)-$L$1),0))</f>
        <v>0.71376157407212304</v>
      </c>
      <c r="U16" s="6"/>
      <c r="V16" s="6"/>
      <c r="W16" s="6"/>
      <c r="X16" s="6"/>
      <c r="Y16" s="6"/>
      <c r="Z16" s="6"/>
      <c r="AA16" s="6"/>
      <c r="AB16" s="6"/>
      <c r="AC16" s="7">
        <f t="shared" si="6"/>
        <v>0.71376157407212304</v>
      </c>
      <c r="AD16" s="8">
        <f t="shared" si="1"/>
        <v>0.72505787036789116</v>
      </c>
      <c r="AF16" s="13">
        <f t="shared" si="2"/>
        <v>0.71376157407212304</v>
      </c>
    </row>
    <row r="17" spans="1:32" ht="23.25" customHeight="1">
      <c r="A17" s="52" t="s">
        <v>32</v>
      </c>
      <c r="B17" s="50"/>
      <c r="C17" s="50"/>
      <c r="D17" s="51"/>
      <c r="E17" s="3">
        <v>18</v>
      </c>
      <c r="F17" s="12">
        <v>41649.362013888887</v>
      </c>
      <c r="G17" s="12">
        <v>41670.362013888887</v>
      </c>
      <c r="H17" s="12">
        <v>41652.590636574074</v>
      </c>
      <c r="I17" s="58">
        <f>IF(ISNUMBER(MATCH(TRUNC(F17),Праздники,0)),TRUNC(F17)+1+$L$1,TRUNC(F17)+MAX(MOD(F17,1),$L$1))</f>
        <v>41649.375</v>
      </c>
      <c r="J17" s="57">
        <f>IF(ISNUMBER(MATCH(TRUNC(H17),Праздники,0)),TRUNC(H17)-1+$M$1,TRUNC(H17)+MIN(MOD(H17,1),$M$1))-SUMPRODUCT((TRUNC(F17)&lt;Праздники)*(TRUNC(H17)&gt;Праздники))</f>
        <v>41652.590636574074</v>
      </c>
      <c r="K17" s="41">
        <v>504</v>
      </c>
      <c r="L17" s="42">
        <v>77.486944440000002</v>
      </c>
      <c r="M17" s="37">
        <v>0</v>
      </c>
      <c r="N17" s="37">
        <v>0</v>
      </c>
      <c r="O17" s="22">
        <f t="shared" si="0"/>
        <v>1</v>
      </c>
      <c r="P17" s="28">
        <f t="shared" si="7"/>
        <v>0.71563657407386927</v>
      </c>
      <c r="Q17" s="6">
        <f t="shared" si="3"/>
        <v>10</v>
      </c>
      <c r="R17" s="6">
        <f t="shared" si="4"/>
        <v>8</v>
      </c>
      <c r="S17" s="6">
        <f t="shared" si="5"/>
        <v>41</v>
      </c>
      <c r="T17" s="9">
        <f>IF(O17=1,((NETWORKDAYS(I17,J17,Праздники)-1)*($M$1-$L$1)+MIN(MAX(MOD(J17,1),(WEEKDAY(J17,2)&gt;5)*$M$1,$L$1),$M$1)-MIN(MAX(MOD(I17,1)*(WEEKDAY(I17,2)&lt;6),$L$1),$M$1)),MAX((TRUNC(J17-I17)-(MOD(J17,1)&gt;MOD(I17,1)))*($M$1-$L$1)+($M$1-MOD(I17,1))+(MOD(J17,1)-$L$1),0))</f>
        <v>0.71563657407386927</v>
      </c>
      <c r="U17" s="6"/>
      <c r="V17" s="6"/>
      <c r="W17" s="6"/>
      <c r="X17" s="6"/>
      <c r="Y17" s="6"/>
      <c r="Z17" s="6"/>
      <c r="AA17" s="6"/>
      <c r="AB17" s="6"/>
      <c r="AC17" s="7">
        <f t="shared" si="6"/>
        <v>0.71563657407386927</v>
      </c>
      <c r="AD17" s="8">
        <f t="shared" si="1"/>
        <v>0.72862268518656492</v>
      </c>
      <c r="AF17" s="13">
        <f t="shared" si="2"/>
        <v>0.71563657407386927</v>
      </c>
    </row>
    <row r="18" spans="1:32" ht="23.25" customHeight="1">
      <c r="A18" s="49" t="s">
        <v>33</v>
      </c>
      <c r="B18" s="50"/>
      <c r="C18" s="50"/>
      <c r="D18" s="51"/>
      <c r="E18" s="4">
        <v>18</v>
      </c>
      <c r="F18" s="12">
        <v>41651.899560185186</v>
      </c>
      <c r="G18" s="12">
        <v>41672.899560185186</v>
      </c>
      <c r="H18" s="12">
        <v>41652.620995370366</v>
      </c>
      <c r="I18" s="58">
        <f>IF(ISNUMBER(MATCH(TRUNC(F18),Праздники,0)),TRUNC(F18)+1+$L$1,TRUNC(F18)+MAX(MOD(F18,1),$L$1))</f>
        <v>41651.899560185186</v>
      </c>
      <c r="J18" s="57">
        <f>IF(ISNUMBER(MATCH(TRUNC(H18),Праздники,0)),TRUNC(H18)-1+$M$1,TRUNC(H18)+MIN(MOD(H18,1),$M$1))-SUMPRODUCT((TRUNC(F18)&lt;Праздники)*(TRUNC(H18)&gt;Праздники))</f>
        <v>41652.620995370366</v>
      </c>
      <c r="K18" s="43">
        <v>504</v>
      </c>
      <c r="L18" s="44">
        <v>17.314444439999999</v>
      </c>
      <c r="M18" s="40">
        <v>0</v>
      </c>
      <c r="N18" s="40">
        <v>0</v>
      </c>
      <c r="O18" s="22">
        <f t="shared" si="0"/>
        <v>1</v>
      </c>
      <c r="P18" s="28">
        <f t="shared" si="7"/>
        <v>0.24599537036556285</v>
      </c>
      <c r="Q18" s="6">
        <f t="shared" si="3"/>
        <v>12</v>
      </c>
      <c r="R18" s="6">
        <f t="shared" si="4"/>
        <v>21</v>
      </c>
      <c r="S18" s="6">
        <f t="shared" si="5"/>
        <v>35</v>
      </c>
      <c r="T18" s="9">
        <f>IF(O18=1,((NETWORKDAYS(I18,J18,Праздники)-1)*($M$1-$L$1)+MIN(MAX(MOD(J18,1),(WEEKDAY(J18,2)&gt;5)*$M$1,$L$1),$M$1)-MIN(MAX(MOD(I18,1)*(WEEKDAY(I18,2)&lt;6),$L$1),$M$1)),MAX((TRUNC(J18-I18)-(MOD(J18,1)&gt;MOD(I18,1)))*($M$1-$L$1)+($M$1-MOD(I18,1))+(MOD(J18,1)-$L$1),0))</f>
        <v>0.24599537036556285</v>
      </c>
      <c r="U18" s="6"/>
      <c r="V18" s="6"/>
      <c r="W18" s="6"/>
      <c r="X18" s="6"/>
      <c r="Y18" s="6"/>
      <c r="Z18" s="6"/>
      <c r="AA18" s="6"/>
      <c r="AB18" s="6"/>
      <c r="AC18" s="7">
        <f t="shared" si="6"/>
        <v>0.24599537036556285</v>
      </c>
      <c r="AD18" s="8">
        <f t="shared" si="1"/>
        <v>0.72143518517987104</v>
      </c>
      <c r="AF18" s="13">
        <f t="shared" si="2"/>
        <v>0.24599537036556285</v>
      </c>
    </row>
    <row r="19" spans="1:32" ht="23.25" customHeight="1">
      <c r="A19" s="52" t="s">
        <v>34</v>
      </c>
      <c r="B19" s="50"/>
      <c r="C19" s="50"/>
      <c r="D19" s="51"/>
      <c r="E19" s="3">
        <v>18</v>
      </c>
      <c r="F19" s="12">
        <v>41651.897847222222</v>
      </c>
      <c r="G19" s="12">
        <v>41672.897847222222</v>
      </c>
      <c r="H19" s="12">
        <v>41652.621805555551</v>
      </c>
      <c r="I19" s="58">
        <f>IF(ISNUMBER(MATCH(TRUNC(F19),Праздники,0)),TRUNC(F19)+1+$L$1,TRUNC(F19)+MAX(MOD(F19,1),$L$1))</f>
        <v>41651.897847222222</v>
      </c>
      <c r="J19" s="57">
        <f>IF(ISNUMBER(MATCH(TRUNC(H19),Праздники,0)),TRUNC(H19)-1+$M$1,TRUNC(H19)+MIN(MOD(H19,1),$M$1))-SUMPRODUCT((TRUNC(F19)&lt;Праздники)*(TRUNC(H19)&gt;Праздники))</f>
        <v>41652.621805555551</v>
      </c>
      <c r="K19" s="41">
        <v>504</v>
      </c>
      <c r="L19" s="42">
        <v>17.375</v>
      </c>
      <c r="M19" s="37">
        <v>0</v>
      </c>
      <c r="N19" s="37">
        <v>0</v>
      </c>
      <c r="O19" s="22">
        <f t="shared" si="0"/>
        <v>1</v>
      </c>
      <c r="P19" s="28">
        <f t="shared" si="7"/>
        <v>0.24680555555096362</v>
      </c>
      <c r="Q19" s="6">
        <f t="shared" si="3"/>
        <v>12</v>
      </c>
      <c r="R19" s="6">
        <f t="shared" si="4"/>
        <v>21</v>
      </c>
      <c r="S19" s="6">
        <f t="shared" si="5"/>
        <v>32</v>
      </c>
      <c r="T19" s="9">
        <f>IF(O19=1,((NETWORKDAYS(I19,J19,Праздники)-1)*($M$1-$L$1)+MIN(MAX(MOD(J19,1),(WEEKDAY(J19,2)&gt;5)*$M$1,$L$1),$M$1)-MIN(MAX(MOD(I19,1)*(WEEKDAY(I19,2)&lt;6),$L$1),$M$1)),MAX((TRUNC(J19-I19)-(MOD(J19,1)&gt;MOD(I19,1)))*($M$1-$L$1)+($M$1-MOD(I19,1))+(MOD(J19,1)-$L$1),0))</f>
        <v>0.24680555555096362</v>
      </c>
      <c r="U19" s="6"/>
      <c r="V19" s="6"/>
      <c r="W19" s="6"/>
      <c r="X19" s="6"/>
      <c r="Y19" s="6"/>
      <c r="Z19" s="6"/>
      <c r="AA19" s="6"/>
      <c r="AB19" s="6"/>
      <c r="AC19" s="7">
        <f t="shared" si="6"/>
        <v>0.24680555555096362</v>
      </c>
      <c r="AD19" s="8">
        <f t="shared" si="1"/>
        <v>0.72395833332848269</v>
      </c>
      <c r="AF19" s="13">
        <f t="shared" si="2"/>
        <v>0.24680555555096362</v>
      </c>
    </row>
    <row r="20" spans="1:32" ht="23.25" customHeight="1">
      <c r="A20" s="49" t="s">
        <v>35</v>
      </c>
      <c r="B20" s="50"/>
      <c r="C20" s="50"/>
      <c r="D20" s="51"/>
      <c r="E20" s="4">
        <v>18</v>
      </c>
      <c r="F20" s="12">
        <v>41651.900057870371</v>
      </c>
      <c r="G20" s="12">
        <v>41672.900057870371</v>
      </c>
      <c r="H20" s="12">
        <v>41652.62263888889</v>
      </c>
      <c r="I20" s="58">
        <f>IF(ISNUMBER(MATCH(TRUNC(F20),Праздники,0)),TRUNC(F20)+1+$L$1,TRUNC(F20)+MAX(MOD(F20,1),$L$1))</f>
        <v>41651.900057870371</v>
      </c>
      <c r="J20" s="57">
        <f>IF(ISNUMBER(MATCH(TRUNC(H20),Праздники,0)),TRUNC(H20)-1+$M$1,TRUNC(H20)+MIN(MOD(H20,1),$M$1))-SUMPRODUCT((TRUNC(F20)&lt;Праздники)*(TRUNC(H20)&gt;Праздники))</f>
        <v>41652.62263888889</v>
      </c>
      <c r="K20" s="43">
        <v>504</v>
      </c>
      <c r="L20" s="44">
        <v>17.341944439999999</v>
      </c>
      <c r="M20" s="40">
        <v>0</v>
      </c>
      <c r="N20" s="40">
        <v>0</v>
      </c>
      <c r="O20" s="22">
        <f t="shared" si="0"/>
        <v>1</v>
      </c>
      <c r="P20" s="28">
        <f t="shared" si="7"/>
        <v>0.24763888888992369</v>
      </c>
      <c r="Q20" s="6">
        <f t="shared" si="3"/>
        <v>12</v>
      </c>
      <c r="R20" s="6">
        <f t="shared" si="4"/>
        <v>21</v>
      </c>
      <c r="S20" s="6">
        <f t="shared" si="5"/>
        <v>36</v>
      </c>
      <c r="T20" s="9">
        <f>IF(O20=1,((NETWORKDAYS(I20,J20,Праздники)-1)*($M$1-$L$1)+MIN(MAX(MOD(J20,1),(WEEKDAY(J20,2)&gt;5)*$M$1,$L$1),$M$1)-MIN(MAX(MOD(I20,1)*(WEEKDAY(I20,2)&lt;6),$L$1),$M$1)),MAX((TRUNC(J20-I20)-(MOD(J20,1)&gt;MOD(I20,1)))*($M$1-$L$1)+($M$1-MOD(I20,1))+(MOD(J20,1)-$L$1),0))</f>
        <v>0.24763888888992369</v>
      </c>
      <c r="U20" s="6"/>
      <c r="V20" s="6"/>
      <c r="W20" s="6"/>
      <c r="X20" s="6"/>
      <c r="Y20" s="6"/>
      <c r="Z20" s="6"/>
      <c r="AA20" s="6"/>
      <c r="AB20" s="6"/>
      <c r="AC20" s="7">
        <f t="shared" si="6"/>
        <v>0.24763888888992369</v>
      </c>
      <c r="AD20" s="8">
        <f t="shared" si="1"/>
        <v>0.72258101851912215</v>
      </c>
      <c r="AF20" s="13">
        <f t="shared" si="2"/>
        <v>0.24763888888992369</v>
      </c>
    </row>
    <row r="21" spans="1:32" ht="23.25" customHeight="1">
      <c r="A21" s="52" t="s">
        <v>36</v>
      </c>
      <c r="B21" s="50"/>
      <c r="C21" s="50"/>
      <c r="D21" s="51"/>
      <c r="E21" s="3">
        <v>18</v>
      </c>
      <c r="F21" s="12">
        <v>41651.90221064815</v>
      </c>
      <c r="G21" s="12">
        <v>41672.90221064815</v>
      </c>
      <c r="H21" s="12">
        <v>41652.624745370369</v>
      </c>
      <c r="I21" s="58">
        <f>IF(ISNUMBER(MATCH(TRUNC(F21),Праздники,0)),TRUNC(F21)+1+$L$1,TRUNC(F21)+MAX(MOD(F21,1),$L$1))</f>
        <v>41651.90221064815</v>
      </c>
      <c r="J21" s="57">
        <f>IF(ISNUMBER(MATCH(TRUNC(H21),Праздники,0)),TRUNC(H21)-1+$M$1,TRUNC(H21)+MIN(MOD(H21,1),$M$1))-SUMPRODUCT((TRUNC(F21)&lt;Праздники)*(TRUNC(H21)&gt;Праздники))</f>
        <v>41652.624745370369</v>
      </c>
      <c r="K21" s="41">
        <v>504</v>
      </c>
      <c r="L21" s="42">
        <v>17.340833329999999</v>
      </c>
      <c r="M21" s="37">
        <v>0</v>
      </c>
      <c r="N21" s="37">
        <v>0</v>
      </c>
      <c r="O21" s="22">
        <f t="shared" si="0"/>
        <v>1</v>
      </c>
      <c r="P21" s="28">
        <f t="shared" si="7"/>
        <v>0.24974537036905531</v>
      </c>
      <c r="Q21" s="6">
        <f t="shared" si="3"/>
        <v>12</v>
      </c>
      <c r="R21" s="6">
        <f t="shared" si="4"/>
        <v>21</v>
      </c>
      <c r="S21" s="6">
        <f t="shared" si="5"/>
        <v>39</v>
      </c>
      <c r="T21" s="9">
        <f>IF(O21=1,((NETWORKDAYS(I21,J21,Праздники)-1)*($M$1-$L$1)+MIN(MAX(MOD(J21,1),(WEEKDAY(J21,2)&gt;5)*$M$1,$L$1),$M$1)-MIN(MAX(MOD(I21,1)*(WEEKDAY(I21,2)&lt;6),$L$1),$M$1)),MAX((TRUNC(J21-I21)-(MOD(J21,1)&gt;MOD(I21,1)))*($M$1-$L$1)+($M$1-MOD(I21,1))+(MOD(J21,1)-$L$1),0))</f>
        <v>0.24974537036905531</v>
      </c>
      <c r="U21" s="6"/>
      <c r="V21" s="6"/>
      <c r="W21" s="6"/>
      <c r="X21" s="6"/>
      <c r="Y21" s="6"/>
      <c r="Z21" s="6"/>
      <c r="AA21" s="6"/>
      <c r="AB21" s="6"/>
      <c r="AC21" s="7">
        <f t="shared" si="6"/>
        <v>0.24974537036905531</v>
      </c>
      <c r="AD21" s="8">
        <f t="shared" si="1"/>
        <v>0.7225347222192795</v>
      </c>
      <c r="AF21" s="13">
        <f t="shared" si="2"/>
        <v>0.24974537036905531</v>
      </c>
    </row>
    <row r="22" spans="1:32" ht="23.25" customHeight="1">
      <c r="A22" s="49" t="s">
        <v>37</v>
      </c>
      <c r="B22" s="50"/>
      <c r="C22" s="50"/>
      <c r="D22" s="51"/>
      <c r="E22" s="4">
        <v>18</v>
      </c>
      <c r="F22" s="12">
        <v>41649.39943287037</v>
      </c>
      <c r="G22" s="12">
        <v>41670.39943287037</v>
      </c>
      <c r="H22" s="12">
        <v>41652.625879629632</v>
      </c>
      <c r="I22" s="58">
        <f>IF(ISNUMBER(MATCH(TRUNC(F22),Праздники,0)),TRUNC(F22)+1+$L$1,TRUNC(F22)+MAX(MOD(F22,1),$L$1))</f>
        <v>41649.39943287037</v>
      </c>
      <c r="J22" s="57">
        <f>IF(ISNUMBER(MATCH(TRUNC(H22),Праздники,0)),TRUNC(H22)-1+$M$1,TRUNC(H22)+MIN(MOD(H22,1),$M$1))-SUMPRODUCT((TRUNC(F22)&lt;Праздники)*(TRUNC(H22)&gt;Праздники))</f>
        <v>41652.625879629632</v>
      </c>
      <c r="K22" s="43">
        <v>504</v>
      </c>
      <c r="L22" s="44">
        <v>77.434722219999998</v>
      </c>
      <c r="M22" s="40">
        <v>0</v>
      </c>
      <c r="N22" s="40">
        <v>0</v>
      </c>
      <c r="O22" s="22">
        <f t="shared" si="0"/>
        <v>1</v>
      </c>
      <c r="P22" s="28">
        <f t="shared" si="7"/>
        <v>0.72644675926130731</v>
      </c>
      <c r="Q22" s="6">
        <f t="shared" si="3"/>
        <v>10</v>
      </c>
      <c r="R22" s="6">
        <f t="shared" si="4"/>
        <v>9</v>
      </c>
      <c r="S22" s="6">
        <f t="shared" si="5"/>
        <v>35</v>
      </c>
      <c r="T22" s="9">
        <f>IF(O22=1,((NETWORKDAYS(I22,J22,Праздники)-1)*($M$1-$L$1)+MIN(MAX(MOD(J22,1),(WEEKDAY(J22,2)&gt;5)*$M$1,$L$1),$M$1)-MIN(MAX(MOD(I22,1)*(WEEKDAY(I22,2)&lt;6),$L$1),$M$1)),MAX((TRUNC(J22-I22)-(MOD(J22,1)&gt;MOD(I22,1)))*($M$1-$L$1)+($M$1-MOD(I22,1))+(MOD(J22,1)-$L$1),0))</f>
        <v>0.72644675926130731</v>
      </c>
      <c r="U22" s="6"/>
      <c r="V22" s="6"/>
      <c r="W22" s="6"/>
      <c r="X22" s="6"/>
      <c r="Y22" s="6"/>
      <c r="Z22" s="6"/>
      <c r="AA22" s="6"/>
      <c r="AB22" s="6"/>
      <c r="AC22" s="7">
        <f t="shared" si="6"/>
        <v>0.72644675926130731</v>
      </c>
      <c r="AD22" s="8">
        <f t="shared" si="1"/>
        <v>0.72644675926130731</v>
      </c>
      <c r="AF22" s="13">
        <f t="shared" si="2"/>
        <v>0.72644675926130731</v>
      </c>
    </row>
    <row r="23" spans="1:32" ht="23.25" customHeight="1">
      <c r="A23" s="52" t="s">
        <v>38</v>
      </c>
      <c r="B23" s="50"/>
      <c r="C23" s="50"/>
      <c r="D23" s="51"/>
      <c r="E23" s="3">
        <v>18</v>
      </c>
      <c r="F23" s="12">
        <v>41649.522187499999</v>
      </c>
      <c r="G23" s="12">
        <v>41670.522187499999</v>
      </c>
      <c r="H23" s="12">
        <v>41652.629791666666</v>
      </c>
      <c r="I23" s="58">
        <f>IF(ISNUMBER(MATCH(TRUNC(F23),Праздники,0)),TRUNC(F23)+1+$L$1,TRUNC(F23)+MAX(MOD(F23,1),$L$1))</f>
        <v>41649.522187499999</v>
      </c>
      <c r="J23" s="57">
        <f>IF(ISNUMBER(MATCH(TRUNC(H23),Праздники,0)),TRUNC(H23)-1+$M$1,TRUNC(H23)+MIN(MOD(H23,1),$M$1))-SUMPRODUCT((TRUNC(F23)&lt;Праздники)*(TRUNC(H23)&gt;Праздники))</f>
        <v>41652.629791666666</v>
      </c>
      <c r="K23" s="41">
        <v>504</v>
      </c>
      <c r="L23" s="42">
        <v>74.582499999999996</v>
      </c>
      <c r="M23" s="37">
        <v>0</v>
      </c>
      <c r="N23" s="37">
        <v>0</v>
      </c>
      <c r="O23" s="22">
        <f t="shared" si="0"/>
        <v>1</v>
      </c>
      <c r="P23" s="28">
        <f t="shared" si="7"/>
        <v>0.60760416666744277</v>
      </c>
      <c r="Q23" s="6">
        <f t="shared" si="3"/>
        <v>10</v>
      </c>
      <c r="R23" s="6">
        <f t="shared" si="4"/>
        <v>12</v>
      </c>
      <c r="S23" s="6">
        <f t="shared" si="5"/>
        <v>31</v>
      </c>
      <c r="T23" s="9">
        <f>IF(O23=1,((NETWORKDAYS(I23,J23,Праздники)-1)*($M$1-$L$1)+MIN(MAX(MOD(J23,1),(WEEKDAY(J23,2)&gt;5)*$M$1,$L$1),$M$1)-MIN(MAX(MOD(I23,1)*(WEEKDAY(I23,2)&lt;6),$L$1),$M$1)),MAX((TRUNC(J23-I23)-(MOD(J23,1)&gt;MOD(I23,1)))*($M$1-$L$1)+($M$1-MOD(I23,1))+(MOD(J23,1)-$L$1),0))</f>
        <v>0.60760416666744277</v>
      </c>
      <c r="U23" s="6"/>
      <c r="V23" s="6"/>
      <c r="W23" s="6"/>
      <c r="X23" s="6"/>
      <c r="Y23" s="6"/>
      <c r="Z23" s="6"/>
      <c r="AA23" s="6"/>
      <c r="AB23" s="6"/>
      <c r="AC23" s="7">
        <f t="shared" si="6"/>
        <v>0.60760416666744277</v>
      </c>
      <c r="AD23" s="8">
        <f t="shared" si="1"/>
        <v>0.60760416666744277</v>
      </c>
      <c r="AF23" s="13">
        <f t="shared" si="2"/>
        <v>0.60760416666744277</v>
      </c>
    </row>
    <row r="24" spans="1:32" ht="23.25" customHeight="1">
      <c r="A24" s="49" t="s">
        <v>39</v>
      </c>
      <c r="B24" s="50"/>
      <c r="C24" s="50"/>
      <c r="D24" s="51"/>
      <c r="E24" s="4">
        <v>18</v>
      </c>
      <c r="F24" s="12">
        <v>41649.395324074074</v>
      </c>
      <c r="G24" s="12">
        <v>41670.395324074074</v>
      </c>
      <c r="H24" s="12">
        <v>41652.631157407406</v>
      </c>
      <c r="I24" s="58">
        <f>IF(ISNUMBER(MATCH(TRUNC(F24),Праздники,0)),TRUNC(F24)+1+$L$1,TRUNC(F24)+MAX(MOD(F24,1),$L$1))</f>
        <v>41649.395324074074</v>
      </c>
      <c r="J24" s="57">
        <f>IF(ISNUMBER(MATCH(TRUNC(H24),Праздники,0)),TRUNC(H24)-1+$M$1,TRUNC(H24)+MIN(MOD(H24,1),$M$1))-SUMPRODUCT((TRUNC(F24)&lt;Праздники)*(TRUNC(H24)&gt;Праздники))</f>
        <v>41652.631157407406</v>
      </c>
      <c r="K24" s="43">
        <v>504</v>
      </c>
      <c r="L24" s="44">
        <v>77.66</v>
      </c>
      <c r="M24" s="40">
        <v>0</v>
      </c>
      <c r="N24" s="40">
        <v>0</v>
      </c>
      <c r="O24" s="22">
        <f t="shared" si="0"/>
        <v>1</v>
      </c>
      <c r="P24" s="28">
        <f t="shared" si="7"/>
        <v>0.73583333333226619</v>
      </c>
      <c r="Q24" s="6">
        <f t="shared" si="3"/>
        <v>10</v>
      </c>
      <c r="R24" s="6">
        <f t="shared" si="4"/>
        <v>9</v>
      </c>
      <c r="S24" s="6">
        <f t="shared" si="5"/>
        <v>29</v>
      </c>
      <c r="T24" s="9">
        <f>IF(O24=1,((NETWORKDAYS(I24,J24,Праздники)-1)*($M$1-$L$1)+MIN(MAX(MOD(J24,1),(WEEKDAY(J24,2)&gt;5)*$M$1,$L$1),$M$1)-MIN(MAX(MOD(I24,1)*(WEEKDAY(I24,2)&lt;6),$L$1),$M$1)),MAX((TRUNC(J24-I24)-(MOD(J24,1)&gt;MOD(I24,1)))*($M$1-$L$1)+($M$1-MOD(I24,1))+(MOD(J24,1)-$L$1),0))</f>
        <v>0.73583333333226619</v>
      </c>
      <c r="U24" s="6"/>
      <c r="V24" s="6"/>
      <c r="W24" s="6"/>
      <c r="X24" s="6"/>
      <c r="Y24" s="6"/>
      <c r="Z24" s="6"/>
      <c r="AA24" s="6"/>
      <c r="AB24" s="6"/>
      <c r="AC24" s="7">
        <f t="shared" si="6"/>
        <v>0.73583333333226619</v>
      </c>
      <c r="AD24" s="8">
        <f t="shared" si="1"/>
        <v>0.73583333333226619</v>
      </c>
      <c r="AF24" s="13">
        <f t="shared" si="2"/>
        <v>0.73583333333226619</v>
      </c>
    </row>
    <row r="25" spans="1:32" ht="23.25" customHeight="1">
      <c r="A25" s="52" t="s">
        <v>40</v>
      </c>
      <c r="B25" s="50"/>
      <c r="C25" s="50"/>
      <c r="D25" s="51"/>
      <c r="E25" s="3">
        <v>18</v>
      </c>
      <c r="F25" s="12">
        <v>41649.384143518517</v>
      </c>
      <c r="G25" s="12">
        <v>41670.384143518517</v>
      </c>
      <c r="H25" s="12">
        <v>41652.632835648146</v>
      </c>
      <c r="I25" s="58">
        <f>IF(ISNUMBER(MATCH(TRUNC(F25),Праздники,0)),TRUNC(F25)+1+$L$1,TRUNC(F25)+MAX(MOD(F25,1),$L$1))</f>
        <v>41649.384143518517</v>
      </c>
      <c r="J25" s="57">
        <f>IF(ISNUMBER(MATCH(TRUNC(H25),Праздники,0)),TRUNC(H25)-1+$M$1,TRUNC(H25)+MIN(MOD(H25,1),$M$1))-SUMPRODUCT((TRUNC(F25)&lt;Праздники)*(TRUNC(H25)&gt;Праздники))</f>
        <v>41652.632835648146</v>
      </c>
      <c r="K25" s="41">
        <v>504</v>
      </c>
      <c r="L25" s="42">
        <v>77.968611109999998</v>
      </c>
      <c r="M25" s="37">
        <v>0</v>
      </c>
      <c r="N25" s="37">
        <v>0</v>
      </c>
      <c r="O25" s="22">
        <f t="shared" si="0"/>
        <v>1</v>
      </c>
      <c r="P25" s="28">
        <f t="shared" si="7"/>
        <v>0.7486921296294895</v>
      </c>
      <c r="Q25" s="6">
        <f t="shared" si="3"/>
        <v>10</v>
      </c>
      <c r="R25" s="6">
        <f t="shared" si="4"/>
        <v>9</v>
      </c>
      <c r="S25" s="6">
        <f t="shared" si="5"/>
        <v>13</v>
      </c>
      <c r="T25" s="9">
        <f>IF(O25=1,((NETWORKDAYS(I25,J25,Праздники)-1)*($M$1-$L$1)+MIN(MAX(MOD(J25,1),(WEEKDAY(J25,2)&gt;5)*$M$1,$L$1),$M$1)-MIN(MAX(MOD(I25,1)*(WEEKDAY(I25,2)&lt;6),$L$1),$M$1)),MAX((TRUNC(J25-I25)-(MOD(J25,1)&gt;MOD(I25,1)))*($M$1-$L$1)+($M$1-MOD(I25,1))+(MOD(J25,1)-$L$1),0))</f>
        <v>0.7486921296294895</v>
      </c>
      <c r="U25" s="6"/>
      <c r="V25" s="6"/>
      <c r="W25" s="6"/>
      <c r="X25" s="6"/>
      <c r="Y25" s="6"/>
      <c r="Z25" s="6"/>
      <c r="AA25" s="6"/>
      <c r="AB25" s="6"/>
      <c r="AC25" s="7">
        <f t="shared" si="6"/>
        <v>0.7486921296294895</v>
      </c>
      <c r="AD25" s="8">
        <f t="shared" si="1"/>
        <v>0.7486921296294895</v>
      </c>
      <c r="AF25" s="13">
        <f t="shared" si="2"/>
        <v>0.7486921296294895</v>
      </c>
    </row>
    <row r="26" spans="1:32" ht="23.25" customHeight="1">
      <c r="A26" s="49" t="s">
        <v>41</v>
      </c>
      <c r="B26" s="50"/>
      <c r="C26" s="50"/>
      <c r="D26" s="51"/>
      <c r="E26" s="4">
        <v>18</v>
      </c>
      <c r="F26" s="12">
        <v>41649.409999999996</v>
      </c>
      <c r="G26" s="12">
        <v>41670.409999999996</v>
      </c>
      <c r="H26" s="12">
        <v>41652.635150462964</v>
      </c>
      <c r="I26" s="58">
        <f>IF(ISNUMBER(MATCH(TRUNC(F26),Праздники,0)),TRUNC(F26)+1+$L$1,TRUNC(F26)+MAX(MOD(F26,1),$L$1))</f>
        <v>41649.409999999996</v>
      </c>
      <c r="J26" s="57">
        <f>IF(ISNUMBER(MATCH(TRUNC(H26),Праздники,0)),TRUNC(H26)-1+$M$1,TRUNC(H26)+MIN(MOD(H26,1),$M$1))-SUMPRODUCT((TRUNC(F26)&lt;Праздники)*(TRUNC(H26)&gt;Праздники))</f>
        <v>41652.635150462964</v>
      </c>
      <c r="K26" s="43">
        <v>504</v>
      </c>
      <c r="L26" s="44">
        <v>77.40361111</v>
      </c>
      <c r="M26" s="40">
        <v>0</v>
      </c>
      <c r="N26" s="40">
        <v>0</v>
      </c>
      <c r="O26" s="22">
        <f t="shared" si="0"/>
        <v>1</v>
      </c>
      <c r="P26" s="28">
        <f t="shared" si="7"/>
        <v>0.72515046296757646</v>
      </c>
      <c r="Q26" s="6">
        <f t="shared" si="3"/>
        <v>10</v>
      </c>
      <c r="R26" s="6">
        <f t="shared" si="4"/>
        <v>9</v>
      </c>
      <c r="S26" s="6">
        <f t="shared" si="5"/>
        <v>50</v>
      </c>
      <c r="T26" s="9">
        <f>IF(O26=1,((NETWORKDAYS(I26,J26,Праздники)-1)*($M$1-$L$1)+MIN(MAX(MOD(J26,1),(WEEKDAY(J26,2)&gt;5)*$M$1,$L$1),$M$1)-MIN(MAX(MOD(I26,1)*(WEEKDAY(I26,2)&lt;6),$L$1),$M$1)),MAX((TRUNC(J26-I26)-(MOD(J26,1)&gt;MOD(I26,1)))*($M$1-$L$1)+($M$1-MOD(I26,1))+(MOD(J26,1)-$L$1),0))</f>
        <v>0.72515046296757646</v>
      </c>
      <c r="U26" s="6"/>
      <c r="V26" s="6"/>
      <c r="W26" s="6"/>
      <c r="X26" s="6"/>
      <c r="Y26" s="6"/>
      <c r="Z26" s="6"/>
      <c r="AA26" s="6"/>
      <c r="AB26" s="6"/>
      <c r="AC26" s="7">
        <f t="shared" si="6"/>
        <v>0.72515046296757646</v>
      </c>
      <c r="AD26" s="8">
        <f t="shared" si="1"/>
        <v>0.72515046296757646</v>
      </c>
      <c r="AF26" s="13">
        <f t="shared" si="2"/>
        <v>0.72515046296757646</v>
      </c>
    </row>
    <row r="27" spans="1:32" ht="23.25" customHeight="1">
      <c r="A27" s="52" t="s">
        <v>42</v>
      </c>
      <c r="B27" s="50"/>
      <c r="C27" s="50"/>
      <c r="D27" s="51"/>
      <c r="E27" s="3">
        <v>18</v>
      </c>
      <c r="F27" s="12">
        <v>41649.393414351849</v>
      </c>
      <c r="G27" s="12">
        <v>41670.393414351849</v>
      </c>
      <c r="H27" s="12">
        <v>41652.636932870366</v>
      </c>
      <c r="I27" s="58">
        <f>IF(ISNUMBER(MATCH(TRUNC(F27),Праздники,0)),TRUNC(F27)+1+$L$1,TRUNC(F27)+MAX(MOD(F27,1),$L$1))</f>
        <v>41649.393414351849</v>
      </c>
      <c r="J27" s="57">
        <f>IF(ISNUMBER(MATCH(TRUNC(H27),Праздники,0)),TRUNC(H27)-1+$M$1,TRUNC(H27)+MIN(MOD(H27,1),$M$1))-SUMPRODUCT((TRUNC(F27)&lt;Праздники)*(TRUNC(H27)&gt;Праздники))</f>
        <v>41652.636932870366</v>
      </c>
      <c r="K27" s="41">
        <v>504</v>
      </c>
      <c r="L27" s="42">
        <v>77.844444440000004</v>
      </c>
      <c r="M27" s="37">
        <v>0</v>
      </c>
      <c r="N27" s="37">
        <v>0</v>
      </c>
      <c r="O27" s="22">
        <f t="shared" si="0"/>
        <v>1</v>
      </c>
      <c r="P27" s="28">
        <f t="shared" si="7"/>
        <v>0.74351851851679385</v>
      </c>
      <c r="Q27" s="6">
        <f t="shared" si="3"/>
        <v>10</v>
      </c>
      <c r="R27" s="6">
        <f t="shared" si="4"/>
        <v>9</v>
      </c>
      <c r="S27" s="6">
        <f t="shared" si="5"/>
        <v>26</v>
      </c>
      <c r="T27" s="9">
        <f>IF(O27=1,((NETWORKDAYS(I27,J27,Праздники)-1)*($M$1-$L$1)+MIN(MAX(MOD(J27,1),(WEEKDAY(J27,2)&gt;5)*$M$1,$L$1),$M$1)-MIN(MAX(MOD(I27,1)*(WEEKDAY(I27,2)&lt;6),$L$1),$M$1)),MAX((TRUNC(J27-I27)-(MOD(J27,1)&gt;MOD(I27,1)))*($M$1-$L$1)+($M$1-MOD(I27,1))+(MOD(J27,1)-$L$1),0))</f>
        <v>0.74351851851679385</v>
      </c>
      <c r="U27" s="6"/>
      <c r="V27" s="6"/>
      <c r="W27" s="6"/>
      <c r="X27" s="6"/>
      <c r="Y27" s="6"/>
      <c r="Z27" s="6"/>
      <c r="AA27" s="6"/>
      <c r="AB27" s="6"/>
      <c r="AC27" s="7">
        <f t="shared" si="6"/>
        <v>0.74351851851679385</v>
      </c>
      <c r="AD27" s="8">
        <f t="shared" si="1"/>
        <v>0.74351851851679385</v>
      </c>
      <c r="AF27" s="13">
        <f t="shared" si="2"/>
        <v>0.74351851851679385</v>
      </c>
    </row>
    <row r="28" spans="1:32" ht="23.25" customHeight="1">
      <c r="A28" s="49" t="s">
        <v>43</v>
      </c>
      <c r="B28" s="50"/>
      <c r="C28" s="50"/>
      <c r="D28" s="51"/>
      <c r="E28" s="4">
        <v>18</v>
      </c>
      <c r="F28" s="12">
        <v>41649.389872685184</v>
      </c>
      <c r="G28" s="12">
        <v>41670.389872685184</v>
      </c>
      <c r="H28" s="12">
        <v>41652.638958333329</v>
      </c>
      <c r="I28" s="58">
        <f>IF(ISNUMBER(MATCH(TRUNC(F28),Праздники,0)),TRUNC(F28)+1+$L$1,TRUNC(F28)+MAX(MOD(F28,1),$L$1))</f>
        <v>41649.389872685184</v>
      </c>
      <c r="J28" s="57">
        <f>IF(ISNUMBER(MATCH(TRUNC(H28),Праздники,0)),TRUNC(H28)-1+$M$1,TRUNC(H28)+MIN(MOD(H28,1),$M$1))-SUMPRODUCT((TRUNC(F28)&lt;Праздники)*(TRUNC(H28)&gt;Праздники))</f>
        <v>41652.638958333329</v>
      </c>
      <c r="K28" s="43">
        <v>504</v>
      </c>
      <c r="L28" s="44">
        <v>77.978055549999993</v>
      </c>
      <c r="M28" s="40">
        <v>0</v>
      </c>
      <c r="N28" s="40">
        <v>0</v>
      </c>
      <c r="O28" s="22">
        <f t="shared" si="0"/>
        <v>1</v>
      </c>
      <c r="P28" s="28">
        <f t="shared" si="7"/>
        <v>0.74908564814541023</v>
      </c>
      <c r="Q28" s="6">
        <f t="shared" si="3"/>
        <v>10</v>
      </c>
      <c r="R28" s="6">
        <f t="shared" si="4"/>
        <v>9</v>
      </c>
      <c r="S28" s="6">
        <f t="shared" si="5"/>
        <v>21</v>
      </c>
      <c r="T28" s="9">
        <f>IF(O28=1,((NETWORKDAYS(I28,J28,Праздники)-1)*($M$1-$L$1)+MIN(MAX(MOD(J28,1),(WEEKDAY(J28,2)&gt;5)*$M$1,$L$1),$M$1)-MIN(MAX(MOD(I28,1)*(WEEKDAY(I28,2)&lt;6),$L$1),$M$1)),MAX((TRUNC(J28-I28)-(MOD(J28,1)&gt;MOD(I28,1)))*($M$1-$L$1)+($M$1-MOD(I28,1))+(MOD(J28,1)-$L$1),0))</f>
        <v>0.74908564814541023</v>
      </c>
      <c r="U28" s="6"/>
      <c r="V28" s="6"/>
      <c r="W28" s="6"/>
      <c r="X28" s="6"/>
      <c r="Y28" s="6"/>
      <c r="Z28" s="6"/>
      <c r="AA28" s="6"/>
      <c r="AB28" s="6"/>
      <c r="AC28" s="7">
        <f t="shared" si="6"/>
        <v>0.74908564814541023</v>
      </c>
      <c r="AD28" s="8">
        <f t="shared" si="1"/>
        <v>0.74908564814541023</v>
      </c>
      <c r="AF28" s="13">
        <f t="shared" si="2"/>
        <v>0.74908564814541023</v>
      </c>
    </row>
    <row r="29" spans="1:32" ht="23.25" customHeight="1">
      <c r="A29" s="52" t="s">
        <v>44</v>
      </c>
      <c r="B29" s="50"/>
      <c r="C29" s="50"/>
      <c r="D29" s="51"/>
      <c r="E29" s="3">
        <v>18</v>
      </c>
      <c r="F29" s="12">
        <v>41649.520995370367</v>
      </c>
      <c r="G29" s="12">
        <v>41670.520995370367</v>
      </c>
      <c r="H29" s="12">
        <v>41652.641608796293</v>
      </c>
      <c r="I29" s="58">
        <f>IF(ISNUMBER(MATCH(TRUNC(F29),Праздники,0)),TRUNC(F29)+1+$L$1,TRUNC(F29)+MAX(MOD(F29,1),$L$1))</f>
        <v>41649.520995370367</v>
      </c>
      <c r="J29" s="57">
        <f>IF(ISNUMBER(MATCH(TRUNC(H29),Праздники,0)),TRUNC(H29)-1+$M$1,TRUNC(H29)+MIN(MOD(H29,1),$M$1))-SUMPRODUCT((TRUNC(F29)&lt;Праздники)*(TRUNC(H29)&gt;Праздники))</f>
        <v>41652.641608796293</v>
      </c>
      <c r="K29" s="41">
        <v>504</v>
      </c>
      <c r="L29" s="42">
        <v>74.894722220000006</v>
      </c>
      <c r="M29" s="37">
        <v>0</v>
      </c>
      <c r="N29" s="37">
        <v>0</v>
      </c>
      <c r="O29" s="22">
        <f t="shared" si="0"/>
        <v>1</v>
      </c>
      <c r="P29" s="28">
        <f t="shared" si="7"/>
        <v>0.62061342592642177</v>
      </c>
      <c r="Q29" s="6">
        <f t="shared" si="3"/>
        <v>10</v>
      </c>
      <c r="R29" s="6">
        <f t="shared" si="4"/>
        <v>12</v>
      </c>
      <c r="S29" s="6">
        <f t="shared" si="5"/>
        <v>30</v>
      </c>
      <c r="T29" s="9">
        <f>IF(O29=1,((NETWORKDAYS(I29,J29,Праздники)-1)*($M$1-$L$1)+MIN(MAX(MOD(J29,1),(WEEKDAY(J29,2)&gt;5)*$M$1,$L$1),$M$1)-MIN(MAX(MOD(I29,1)*(WEEKDAY(I29,2)&lt;6),$L$1),$M$1)),MAX((TRUNC(J29-I29)-(MOD(J29,1)&gt;MOD(I29,1)))*($M$1-$L$1)+($M$1-MOD(I29,1))+(MOD(J29,1)-$L$1),0))</f>
        <v>0.62061342592642177</v>
      </c>
      <c r="U29" s="6"/>
      <c r="V29" s="6"/>
      <c r="W29" s="6"/>
      <c r="X29" s="6"/>
      <c r="Y29" s="6"/>
      <c r="Z29" s="6"/>
      <c r="AA29" s="6"/>
      <c r="AB29" s="6"/>
      <c r="AC29" s="7">
        <f t="shared" si="6"/>
        <v>0.62061342592642177</v>
      </c>
      <c r="AD29" s="8">
        <f t="shared" si="1"/>
        <v>0.62061342592642177</v>
      </c>
      <c r="AF29" s="13">
        <f t="shared" si="2"/>
        <v>0.62061342592642177</v>
      </c>
    </row>
    <row r="30" spans="1:32" ht="23.25" customHeight="1">
      <c r="A30" s="49" t="s">
        <v>45</v>
      </c>
      <c r="B30" s="50"/>
      <c r="C30" s="50"/>
      <c r="D30" s="51"/>
      <c r="E30" s="4">
        <v>18</v>
      </c>
      <c r="F30" s="12">
        <v>41649.39261574074</v>
      </c>
      <c r="G30" s="12">
        <v>41670.39261574074</v>
      </c>
      <c r="H30" s="12">
        <v>41652.645358796297</v>
      </c>
      <c r="I30" s="58">
        <f>IF(ISNUMBER(MATCH(TRUNC(F30),Праздники,0)),TRUNC(F30)+1+$L$1,TRUNC(F30)+MAX(MOD(F30,1),$L$1))</f>
        <v>41649.39261574074</v>
      </c>
      <c r="J30" s="57">
        <f>IF(ISNUMBER(MATCH(TRUNC(H30),Праздники,0)),TRUNC(H30)-1+$M$1,TRUNC(H30)+MIN(MOD(H30,1),$M$1))-SUMPRODUCT((TRUNC(F30)&lt;Праздники)*(TRUNC(H30)&gt;Праздники))</f>
        <v>41652.645358796297</v>
      </c>
      <c r="K30" s="43">
        <v>504</v>
      </c>
      <c r="L30" s="44">
        <v>78.065833330000004</v>
      </c>
      <c r="M30" s="40">
        <v>0</v>
      </c>
      <c r="N30" s="40">
        <v>0</v>
      </c>
      <c r="O30" s="22">
        <f t="shared" si="0"/>
        <v>1</v>
      </c>
      <c r="P30" s="28">
        <f t="shared" si="7"/>
        <v>0.75274305555649335</v>
      </c>
      <c r="Q30" s="6">
        <f t="shared" si="3"/>
        <v>10</v>
      </c>
      <c r="R30" s="6">
        <f t="shared" si="4"/>
        <v>9</v>
      </c>
      <c r="S30" s="6">
        <f t="shared" si="5"/>
        <v>25</v>
      </c>
      <c r="T30" s="9">
        <f>IF(O30=1,((NETWORKDAYS(I30,J30,Праздники)-1)*($M$1-$L$1)+MIN(MAX(MOD(J30,1),(WEEKDAY(J30,2)&gt;5)*$M$1,$L$1),$M$1)-MIN(MAX(MOD(I30,1)*(WEEKDAY(I30,2)&lt;6),$L$1),$M$1)),MAX((TRUNC(J30-I30)-(MOD(J30,1)&gt;MOD(I30,1)))*($M$1-$L$1)+($M$1-MOD(I30,1))+(MOD(J30,1)-$L$1),0))</f>
        <v>0.75274305555649335</v>
      </c>
      <c r="U30" s="6"/>
      <c r="V30" s="6"/>
      <c r="W30" s="6"/>
      <c r="X30" s="6"/>
      <c r="Y30" s="6"/>
      <c r="Z30" s="6"/>
      <c r="AA30" s="6"/>
      <c r="AB30" s="6"/>
      <c r="AC30" s="7">
        <f t="shared" si="6"/>
        <v>0.75274305555649335</v>
      </c>
      <c r="AD30" s="8">
        <f t="shared" si="1"/>
        <v>0.75274305555649335</v>
      </c>
      <c r="AF30" s="13">
        <f t="shared" si="2"/>
        <v>0.75274305555649335</v>
      </c>
    </row>
    <row r="31" spans="1:32" ht="23.25" customHeight="1">
      <c r="A31" s="52" t="s">
        <v>46</v>
      </c>
      <c r="B31" s="50"/>
      <c r="C31" s="50"/>
      <c r="D31" s="51"/>
      <c r="E31" s="3">
        <v>18</v>
      </c>
      <c r="F31" s="12">
        <v>41649.401898148149</v>
      </c>
      <c r="G31" s="12">
        <v>41670.401898148149</v>
      </c>
      <c r="H31" s="12">
        <v>41652.647106481483</v>
      </c>
      <c r="I31" s="58">
        <f>IF(ISNUMBER(MATCH(TRUNC(F31),Праздники,0)),TRUNC(F31)+1+$L$1,TRUNC(F31)+MAX(MOD(F31,1),$L$1))</f>
        <v>41649.401898148149</v>
      </c>
      <c r="J31" s="57">
        <f>IF(ISNUMBER(MATCH(TRUNC(H31),Праздники,0)),TRUNC(H31)-1+$M$1,TRUNC(H31)+MIN(MOD(H31,1),$M$1))-SUMPRODUCT((TRUNC(F31)&lt;Праздники)*(TRUNC(H31)&gt;Праздники))</f>
        <v>41652.647106481483</v>
      </c>
      <c r="K31" s="41">
        <v>504</v>
      </c>
      <c r="L31" s="42">
        <v>77.885000000000005</v>
      </c>
      <c r="M31" s="37">
        <v>0</v>
      </c>
      <c r="N31" s="37">
        <v>0</v>
      </c>
      <c r="O31" s="22">
        <f t="shared" si="0"/>
        <v>1</v>
      </c>
      <c r="P31" s="28">
        <f t="shared" si="7"/>
        <v>0.74520833333372138</v>
      </c>
      <c r="Q31" s="6">
        <f t="shared" si="3"/>
        <v>10</v>
      </c>
      <c r="R31" s="6">
        <f t="shared" si="4"/>
        <v>9</v>
      </c>
      <c r="S31" s="6">
        <f t="shared" si="5"/>
        <v>38</v>
      </c>
      <c r="T31" s="9">
        <f>IF(O31=1,((NETWORKDAYS(I31,J31,Праздники)-1)*($M$1-$L$1)+MIN(MAX(MOD(J31,1),(WEEKDAY(J31,2)&gt;5)*$M$1,$L$1),$M$1)-MIN(MAX(MOD(I31,1)*(WEEKDAY(I31,2)&lt;6),$L$1),$M$1)),MAX((TRUNC(J31-I31)-(MOD(J31,1)&gt;MOD(I31,1)))*($M$1-$L$1)+($M$1-MOD(I31,1))+(MOD(J31,1)-$L$1),0))</f>
        <v>0.74520833333372138</v>
      </c>
      <c r="U31" s="6"/>
      <c r="V31" s="6"/>
      <c r="W31" s="6"/>
      <c r="X31" s="6"/>
      <c r="Y31" s="6"/>
      <c r="Z31" s="6"/>
      <c r="AA31" s="6"/>
      <c r="AB31" s="6"/>
      <c r="AC31" s="7">
        <f t="shared" si="6"/>
        <v>0.74520833333372138</v>
      </c>
      <c r="AD31" s="8">
        <f t="shared" si="1"/>
        <v>0.74520833333372138</v>
      </c>
      <c r="AF31" s="13">
        <f t="shared" si="2"/>
        <v>0.74520833333372138</v>
      </c>
    </row>
    <row r="32" spans="1:32" ht="23.25" customHeight="1">
      <c r="A32" s="49" t="s">
        <v>47</v>
      </c>
      <c r="B32" s="50"/>
      <c r="C32" s="50"/>
      <c r="D32" s="51"/>
      <c r="E32" s="4">
        <v>18</v>
      </c>
      <c r="F32" s="12">
        <v>41649.382916666662</v>
      </c>
      <c r="G32" s="12">
        <v>41670.382916666662</v>
      </c>
      <c r="H32" s="12">
        <v>41653.350682870368</v>
      </c>
      <c r="I32" s="58">
        <f>IF(ISNUMBER(MATCH(TRUNC(F32),Праздники,0)),TRUNC(F32)+1+$L$1,TRUNC(F32)+MAX(MOD(F32,1),$L$1))</f>
        <v>41649.382916666662</v>
      </c>
      <c r="J32" s="57">
        <f>IF(ISNUMBER(MATCH(TRUNC(H32),Праздники,0)),TRUNC(H32)-1+$M$1,TRUNC(H32)+MIN(MOD(H32,1),$M$1))-SUMPRODUCT((TRUNC(F32)&lt;Праздники)*(TRUNC(H32)&gt;Праздники))</f>
        <v>41653.350682870368</v>
      </c>
      <c r="K32" s="43">
        <v>504</v>
      </c>
      <c r="L32" s="44">
        <v>95.226388880000002</v>
      </c>
      <c r="M32" s="40">
        <v>0</v>
      </c>
      <c r="N32" s="40">
        <v>0</v>
      </c>
      <c r="O32" s="22">
        <f t="shared" si="0"/>
        <v>1</v>
      </c>
      <c r="P32" s="28">
        <f t="shared" si="7"/>
        <v>0.99208333333808696</v>
      </c>
      <c r="Q32" s="6">
        <f t="shared" si="3"/>
        <v>10</v>
      </c>
      <c r="R32" s="6">
        <f t="shared" si="4"/>
        <v>9</v>
      </c>
      <c r="S32" s="6">
        <f t="shared" si="5"/>
        <v>11</v>
      </c>
      <c r="T32" s="9">
        <f>IF(O32=1,((NETWORKDAYS(I32,J32,Праздники)-1)*($M$1-$L$1)+MIN(MAX(MOD(J32,1),(WEEKDAY(J32,2)&gt;5)*$M$1,$L$1),$M$1)-MIN(MAX(MOD(I32,1)*(WEEKDAY(I32,2)&lt;6),$L$1),$M$1)),MAX((TRUNC(J32-I32)-(MOD(J32,1)&gt;MOD(I32,1)))*($M$1-$L$1)+($M$1-MOD(I32,1))+(MOD(J32,1)-$L$1),0))</f>
        <v>0.99208333333808696</v>
      </c>
      <c r="U32" s="6"/>
      <c r="V32" s="6"/>
      <c r="W32" s="6"/>
      <c r="X32" s="6"/>
      <c r="Y32" s="6"/>
      <c r="Z32" s="6"/>
      <c r="AA32" s="6"/>
      <c r="AB32" s="6"/>
      <c r="AC32" s="7">
        <f t="shared" si="6"/>
        <v>0.99208333333808696</v>
      </c>
      <c r="AD32" s="8">
        <f t="shared" si="1"/>
        <v>1.9677662037065602</v>
      </c>
      <c r="AF32" s="13">
        <f t="shared" si="2"/>
        <v>0.99208333333808696</v>
      </c>
    </row>
    <row r="33" spans="1:32" ht="23.25" customHeight="1">
      <c r="A33" s="52" t="s">
        <v>48</v>
      </c>
      <c r="B33" s="50"/>
      <c r="C33" s="50"/>
      <c r="D33" s="51"/>
      <c r="E33" s="3">
        <v>18</v>
      </c>
      <c r="F33" s="12">
        <v>41649.518993055557</v>
      </c>
      <c r="G33" s="12">
        <v>41670.518993055557</v>
      </c>
      <c r="H33" s="12">
        <v>41654.459374999999</v>
      </c>
      <c r="I33" s="58">
        <f>IF(ISNUMBER(MATCH(TRUNC(F33),Праздники,0)),TRUNC(F33)+1+$L$1,TRUNC(F33)+MAX(MOD(F33,1),$L$1))</f>
        <v>41649.518993055557</v>
      </c>
      <c r="J33" s="57">
        <f>IF(ISNUMBER(MATCH(TRUNC(H33),Праздники,0)),TRUNC(H33)-1+$M$1,TRUNC(H33)+MIN(MOD(H33,1),$M$1))-SUMPRODUCT((TRUNC(F33)&lt;Праздники)*(TRUNC(H33)&gt;Праздники))</f>
        <v>41654.459374999999</v>
      </c>
      <c r="K33" s="41">
        <v>504</v>
      </c>
      <c r="L33" s="42">
        <v>118.56916665999999</v>
      </c>
      <c r="M33" s="37">
        <v>0</v>
      </c>
      <c r="N33" s="37">
        <v>0</v>
      </c>
      <c r="O33" s="22">
        <f t="shared" si="0"/>
        <v>1</v>
      </c>
      <c r="P33" s="28">
        <f>IF(O33=1,((NETWORKDAYS(F33,H33)-1)*($M$1-$L$1)+MIN(MAX(MOD(H33,1),(WEEKDAY(H33,2)&gt;5)*$M$1,$L$1),$M$1)-MIN(MAX(MOD(F33,1)*(WEEKDAY(F33,2)&lt;6),$L$1),$M$1)),(H33-F33)-INT(H33-F33)+(DATEDIF(F33,H33,"d"))*($M$1-$L$1))</f>
        <v>1.4403819444414694</v>
      </c>
      <c r="Q33" s="6">
        <f t="shared" si="3"/>
        <v>10</v>
      </c>
      <c r="R33" s="6">
        <f t="shared" si="4"/>
        <v>12</v>
      </c>
      <c r="S33" s="6">
        <f t="shared" si="5"/>
        <v>27</v>
      </c>
      <c r="T33" s="9">
        <f>IF(O33=1,((NETWORKDAYS(I33,J33,Праздники)-1)*($M$1-$L$1)+MIN(MAX(MOD(J33,1),(WEEKDAY(J33,2)&gt;5)*$M$1,$L$1),$M$1)-MIN(MAX(MOD(I33,1)*(WEEKDAY(I33,2)&lt;6),$L$1),$M$1)),MAX((TRUNC(J33-I33)-(MOD(J33,1)&gt;MOD(I33,1)))*($M$1-$L$1)+($M$1-MOD(I33,1))+(MOD(J33,1)-$L$1),0))</f>
        <v>1.4403819444414694</v>
      </c>
      <c r="U33" s="6"/>
      <c r="V33" s="6"/>
      <c r="W33" s="6"/>
      <c r="X33" s="6"/>
      <c r="Y33" s="6"/>
      <c r="Z33" s="6"/>
      <c r="AA33" s="6"/>
      <c r="AB33" s="6"/>
      <c r="AC33" s="7">
        <f t="shared" si="6"/>
        <v>1.4403819444414694</v>
      </c>
      <c r="AD33" s="8">
        <f t="shared" si="1"/>
        <v>2.4403819444414694</v>
      </c>
      <c r="AF33" s="13">
        <f t="shared" si="2"/>
        <v>1.4403819444414694</v>
      </c>
    </row>
    <row r="34" spans="1:32" ht="23.25" customHeight="1">
      <c r="A34" s="49" t="s">
        <v>49</v>
      </c>
      <c r="B34" s="50"/>
      <c r="C34" s="50"/>
      <c r="D34" s="51"/>
      <c r="E34" s="4">
        <v>18</v>
      </c>
      <c r="F34" s="12">
        <v>41649.518645833334</v>
      </c>
      <c r="G34" s="12">
        <v>41670.518645833334</v>
      </c>
      <c r="H34" s="12">
        <v>41654.461481481478</v>
      </c>
      <c r="I34" s="58">
        <f>IF(ISNUMBER(MATCH(TRUNC(F34),Праздники,0)),TRUNC(F34)+1+$L$1,TRUNC(F34)+MAX(MOD(F34,1),$L$1))</f>
        <v>41649.518645833334</v>
      </c>
      <c r="J34" s="57">
        <f>IF(ISNUMBER(MATCH(TRUNC(H34),Праздники,0)),TRUNC(H34)-1+$M$1,TRUNC(H34)+MIN(MOD(H34,1),$M$1))-SUMPRODUCT((TRUNC(F34)&lt;Праздники)*(TRUNC(H34)&gt;Праздники))</f>
        <v>41654.461481481478</v>
      </c>
      <c r="K34" s="43">
        <v>504</v>
      </c>
      <c r="L34" s="44">
        <v>118.62805555</v>
      </c>
      <c r="M34" s="40">
        <v>0</v>
      </c>
      <c r="N34" s="40">
        <v>0</v>
      </c>
      <c r="O34" s="22">
        <f t="shared" si="0"/>
        <v>1</v>
      </c>
      <c r="P34" s="28">
        <f>IF(O34=1,((NETWORKDAYS(F34,H34)-1)*($M$1-$L$1)+MIN(MAX(MOD(H34,1),(WEEKDAY(H34,2)&gt;5)*$M$1,$L$1),$M$1)-MIN(MAX(MOD(F34,1)*(WEEKDAY(F34,2)&lt;6),$L$1),$M$1)),(H34-F34)-INT(H34-F34)+(DATEDIF(F34,H34,"d"))*($M$1-$L$1))</f>
        <v>1.442835648143955</v>
      </c>
      <c r="Q34" s="6">
        <f t="shared" si="3"/>
        <v>10</v>
      </c>
      <c r="R34" s="6">
        <f t="shared" si="4"/>
        <v>12</v>
      </c>
      <c r="S34" s="6">
        <f t="shared" si="5"/>
        <v>26</v>
      </c>
      <c r="T34" s="9">
        <f>IF(O34=1,((NETWORKDAYS(I34,J34,Праздники)-1)*($M$1-$L$1)+MIN(MAX(MOD(J34,1),(WEEKDAY(J34,2)&gt;5)*$M$1,$L$1),$M$1)-MIN(MAX(MOD(I34,1)*(WEEKDAY(I34,2)&lt;6),$L$1),$M$1)),MAX((TRUNC(J34-I34)-(MOD(J34,1)&gt;MOD(I34,1)))*($M$1-$L$1)+($M$1-MOD(I34,1))+(MOD(J34,1)-$L$1),0))</f>
        <v>1.442835648143955</v>
      </c>
      <c r="U34" s="6"/>
      <c r="V34" s="6"/>
      <c r="W34" s="6"/>
      <c r="X34" s="6"/>
      <c r="Y34" s="6"/>
      <c r="Z34" s="6"/>
      <c r="AA34" s="6"/>
      <c r="AB34" s="6"/>
      <c r="AC34" s="7">
        <f t="shared" si="6"/>
        <v>1.442835648143955</v>
      </c>
      <c r="AD34" s="8">
        <f t="shared" si="1"/>
        <v>2.442835648143955</v>
      </c>
      <c r="AF34" s="13">
        <f t="shared" si="2"/>
        <v>1.442835648143955</v>
      </c>
    </row>
    <row r="35" spans="1:32" ht="23.25" customHeight="1">
      <c r="A35" s="52" t="s">
        <v>50</v>
      </c>
      <c r="B35" s="50"/>
      <c r="C35" s="50"/>
      <c r="D35" s="51"/>
      <c r="E35" s="3">
        <v>18</v>
      </c>
      <c r="F35" s="12">
        <v>41649.368414351848</v>
      </c>
      <c r="G35" s="12">
        <v>41670.368414351848</v>
      </c>
      <c r="H35" s="12">
        <v>41654.463923611111</v>
      </c>
      <c r="I35" s="58">
        <f>IF(ISNUMBER(MATCH(TRUNC(F35),Праздники,0)),TRUNC(F35)+1+$L$1,TRUNC(F35)+MAX(MOD(F35,1),$L$1))</f>
        <v>41649.375</v>
      </c>
      <c r="J35" s="57">
        <f>IF(ISNUMBER(MATCH(TRUNC(H35),Праздники,0)),TRUNC(H35)-1+$M$1,TRUNC(H35)+MIN(MOD(H35,1),$M$1))-SUMPRODUCT((TRUNC(F35)&lt;Праздники)*(TRUNC(H35)&gt;Праздники))</f>
        <v>41654.463923611111</v>
      </c>
      <c r="K35" s="41">
        <v>504</v>
      </c>
      <c r="L35" s="42">
        <v>122.29222222</v>
      </c>
      <c r="M35" s="37">
        <v>0</v>
      </c>
      <c r="N35" s="37">
        <v>0</v>
      </c>
      <c r="O35" s="22">
        <f t="shared" si="0"/>
        <v>1</v>
      </c>
      <c r="P35" s="28">
        <f>IF(O35=1,((NETWORKDAYS(F35,H35)-1)*($M$1-$L$1)+MIN(MAX(MOD(H35,1),(WEEKDAY(H35,2)&gt;5)*$M$1,$L$1),$M$1)-MIN(MAX(MOD(F35,1)*(WEEKDAY(F35,2)&lt;6),$L$1),$M$1)),(H35-F35)-INT(H35-F35)+(DATEDIF(F35,H35,"d"))*($M$1-$L$1))</f>
        <v>1.5889236111106584</v>
      </c>
      <c r="Q35" s="6">
        <f t="shared" si="3"/>
        <v>10</v>
      </c>
      <c r="R35" s="6">
        <f t="shared" si="4"/>
        <v>8</v>
      </c>
      <c r="S35" s="6">
        <f t="shared" si="5"/>
        <v>50</v>
      </c>
      <c r="T35" s="9">
        <f>IF(O35=1,((NETWORKDAYS(I35,J35,Праздники)-1)*($M$1-$L$1)+MIN(MAX(MOD(J35,1),(WEEKDAY(J35,2)&gt;5)*$M$1,$L$1),$M$1)-MIN(MAX(MOD(I35,1)*(WEEKDAY(I35,2)&lt;6),$L$1),$M$1)),MAX((TRUNC(J35-I35)-(MOD(J35,1)&gt;MOD(I35,1)))*($M$1-$L$1)+($M$1-MOD(I35,1))+(MOD(J35,1)-$L$1),0))</f>
        <v>1.5889236111106584</v>
      </c>
      <c r="U35" s="6"/>
      <c r="V35" s="6"/>
      <c r="W35" s="6"/>
      <c r="X35" s="6"/>
      <c r="Y35" s="6"/>
      <c r="Z35" s="6"/>
      <c r="AA35" s="6"/>
      <c r="AB35" s="6"/>
      <c r="AC35" s="7">
        <f t="shared" si="6"/>
        <v>1.5889236111106584</v>
      </c>
      <c r="AD35" s="8">
        <f t="shared" ref="AD35:AD66" si="8">(H35-F35)-INT(H35-F35)+(NETWORKDAYS(F35,H35)-(NETWORKDAYS(F35,H35)&lt;&gt;0))*($M$1-$L$1)</f>
        <v>1.5955092592630535</v>
      </c>
      <c r="AF35" s="13">
        <f t="shared" ref="AF35:AF66" si="9">(NETWORKDAYS(F35,H35)-1)*($M$1-$L$1)+MIN(MAX(MOD(H35,1),(WEEKDAY(H35,2)&gt;5)*$M$1,$L$1),$M$1)-MIN(MAX(MOD(F35,1)*(WEEKDAY(F35,2)&lt;6),$L$1),$M$1)</f>
        <v>1.5889236111106584</v>
      </c>
    </row>
    <row r="36" spans="1:32" ht="23.25" customHeight="1">
      <c r="A36" s="49" t="s">
        <v>51</v>
      </c>
      <c r="B36" s="50"/>
      <c r="C36" s="50"/>
      <c r="D36" s="51"/>
      <c r="E36" s="4">
        <v>18</v>
      </c>
      <c r="F36" s="12">
        <v>41649.362407407403</v>
      </c>
      <c r="G36" s="12">
        <v>41670.362407407403</v>
      </c>
      <c r="H36" s="12">
        <v>41654.468113425923</v>
      </c>
      <c r="I36" s="58">
        <f>IF(ISNUMBER(MATCH(TRUNC(F36),Праздники,0)),TRUNC(F36)+1+$L$1,TRUNC(F36)+MAX(MOD(F36,1),$L$1))</f>
        <v>41649.375</v>
      </c>
      <c r="J36" s="57">
        <f>IF(ISNUMBER(MATCH(TRUNC(H36),Праздники,0)),TRUNC(H36)-1+$M$1,TRUNC(H36)+MIN(MOD(H36,1),$M$1))-SUMPRODUCT((TRUNC(F36)&lt;Праздники)*(TRUNC(H36)&gt;Праздники))</f>
        <v>41654.468113425923</v>
      </c>
      <c r="K36" s="43">
        <v>504</v>
      </c>
      <c r="L36" s="44">
        <v>122.53694444</v>
      </c>
      <c r="M36" s="40">
        <v>0</v>
      </c>
      <c r="N36" s="40">
        <v>0</v>
      </c>
      <c r="O36" s="22">
        <f t="shared" si="0"/>
        <v>1</v>
      </c>
      <c r="P36" s="28">
        <f>IF(O36=1,((NETWORKDAYS(F36,H36)-1)*($M$1-$L$1)+MIN(MAX(MOD(H36,1),(WEEKDAY(H36,2)&gt;5)*$M$1,$L$1),$M$1)-MIN(MAX(MOD(F36,1)*(WEEKDAY(F36,2)&lt;6),$L$1),$M$1)),(H36-F36)-INT(H36-F36)+(DATEDIF(F36,H36,"d"))*($M$1-$L$1))</f>
        <v>1.5931134259226383</v>
      </c>
      <c r="Q36" s="6">
        <f t="shared" si="3"/>
        <v>10</v>
      </c>
      <c r="R36" s="6">
        <f t="shared" si="4"/>
        <v>8</v>
      </c>
      <c r="S36" s="6">
        <f t="shared" si="5"/>
        <v>41</v>
      </c>
      <c r="T36" s="9">
        <f>IF(O36=1,((NETWORKDAYS(I36,J36,Праздники)-1)*($M$1-$L$1)+MIN(MAX(MOD(J36,1),(WEEKDAY(J36,2)&gt;5)*$M$1,$L$1),$M$1)-MIN(MAX(MOD(I36,1)*(WEEKDAY(I36,2)&lt;6),$L$1),$M$1)),MAX((TRUNC(J36-I36)-(MOD(J36,1)&gt;MOD(I36,1)))*($M$1-$L$1)+($M$1-MOD(I36,1))+(MOD(J36,1)-$L$1),0))</f>
        <v>1.5931134259226383</v>
      </c>
      <c r="U36" s="6"/>
      <c r="V36" s="6"/>
      <c r="W36" s="6"/>
      <c r="X36" s="6"/>
      <c r="Y36" s="6"/>
      <c r="Z36" s="6"/>
      <c r="AA36" s="6"/>
      <c r="AB36" s="6"/>
      <c r="AC36" s="7">
        <f t="shared" si="6"/>
        <v>1.5931134259226383</v>
      </c>
      <c r="AD36" s="8">
        <f t="shared" si="8"/>
        <v>1.6057060185194132</v>
      </c>
      <c r="AF36" s="13">
        <f t="shared" si="9"/>
        <v>1.5931134259226383</v>
      </c>
    </row>
    <row r="37" spans="1:32" ht="23.25" customHeight="1">
      <c r="A37" s="52" t="s">
        <v>52</v>
      </c>
      <c r="B37" s="50"/>
      <c r="C37" s="50"/>
      <c r="D37" s="51"/>
      <c r="E37" s="3">
        <v>18</v>
      </c>
      <c r="F37" s="12">
        <v>41649.376516203702</v>
      </c>
      <c r="G37" s="12">
        <v>41670.376516203702</v>
      </c>
      <c r="H37" s="12">
        <v>41654.474699074075</v>
      </c>
      <c r="I37" s="58">
        <f>IF(ISNUMBER(MATCH(TRUNC(F37),Праздники,0)),TRUNC(F37)+1+$L$1,TRUNC(F37)+MAX(MOD(F37,1),$L$1))</f>
        <v>41649.376516203702</v>
      </c>
      <c r="J37" s="57">
        <f>IF(ISNUMBER(MATCH(TRUNC(H37),Праздники,0)),TRUNC(H37)-1+$M$1,TRUNC(H37)+MIN(MOD(H37,1),$M$1))-SUMPRODUCT((TRUNC(F37)&lt;Праздники)*(TRUNC(H37)&gt;Праздники))</f>
        <v>41654.474699074075</v>
      </c>
      <c r="K37" s="41">
        <v>504</v>
      </c>
      <c r="L37" s="42">
        <v>122.35638888</v>
      </c>
      <c r="M37" s="37">
        <v>0</v>
      </c>
      <c r="N37" s="37">
        <v>0</v>
      </c>
      <c r="O37" s="22">
        <f t="shared" si="0"/>
        <v>1</v>
      </c>
      <c r="P37" s="28">
        <f>IF(O37=1,((NETWORKDAYS(F37,H37)-1)*($M$1-$L$1)+MIN(MAX(MOD(H37,1),(WEEKDAY(H37,2)&gt;5)*$M$1,$L$1),$M$1)-MIN(MAX(MOD(F37,1)*(WEEKDAY(F37,2)&lt;6),$L$1),$M$1)),(H37-F37)-INT(H37-F37)+(DATEDIF(F37,H37,"d"))*($M$1-$L$1))</f>
        <v>1.5981828703734209</v>
      </c>
      <c r="Q37" s="6">
        <f t="shared" si="3"/>
        <v>10</v>
      </c>
      <c r="R37" s="6">
        <f t="shared" si="4"/>
        <v>9</v>
      </c>
      <c r="S37" s="6">
        <f t="shared" si="5"/>
        <v>2</v>
      </c>
      <c r="T37" s="9">
        <f>IF(O37=1,((NETWORKDAYS(I37,J37,Праздники)-1)*($M$1-$L$1)+MIN(MAX(MOD(J37,1),(WEEKDAY(J37,2)&gt;5)*$M$1,$L$1),$M$1)-MIN(MAX(MOD(I37,1)*(WEEKDAY(I37,2)&lt;6),$L$1),$M$1)),MAX((TRUNC(J37-I37)-(MOD(J37,1)&gt;MOD(I37,1)))*($M$1-$L$1)+($M$1-MOD(I37,1))+(MOD(J37,1)-$L$1),0))</f>
        <v>1.5981828703734209</v>
      </c>
      <c r="U37" s="6"/>
      <c r="V37" s="6"/>
      <c r="W37" s="6"/>
      <c r="X37" s="6"/>
      <c r="Y37" s="6"/>
      <c r="Z37" s="6"/>
      <c r="AA37" s="6"/>
      <c r="AB37" s="6"/>
      <c r="AC37" s="7">
        <f t="shared" si="6"/>
        <v>1.5981828703734209</v>
      </c>
      <c r="AD37" s="8">
        <f t="shared" si="8"/>
        <v>1.5981828703734209</v>
      </c>
      <c r="AF37" s="13">
        <f t="shared" si="9"/>
        <v>1.5981828703734209</v>
      </c>
    </row>
    <row r="38" spans="1:32" ht="23.25" customHeight="1">
      <c r="A38" s="49" t="s">
        <v>16</v>
      </c>
      <c r="B38" s="50"/>
      <c r="C38" s="50"/>
      <c r="D38" s="51"/>
      <c r="E38" s="4">
        <v>34</v>
      </c>
      <c r="F38" s="12">
        <v>41654.621898148143</v>
      </c>
      <c r="G38" s="12">
        <v>41655.788564814815</v>
      </c>
      <c r="H38" s="12">
        <v>41655.324814814812</v>
      </c>
      <c r="I38" s="58">
        <f>IF(ISNUMBER(MATCH(TRUNC(F38),Праздники,0)),TRUNC(F38)+1+$L$1,TRUNC(F38)+MAX(MOD(F38,1),$L$1))</f>
        <v>41654.621898148143</v>
      </c>
      <c r="J38" s="57">
        <f>IF(ISNUMBER(MATCH(TRUNC(H38),Праздники,0)),TRUNC(H38)-1+$M$1,TRUNC(H38)+MIN(MOD(H38,1),$M$1))-SUMPRODUCT((TRUNC(F38)&lt;Праздники)*(TRUNC(H38)&gt;Праздники))</f>
        <v>41655.324814814812</v>
      </c>
      <c r="K38" s="43">
        <v>16</v>
      </c>
      <c r="L38" s="39">
        <v>4.87</v>
      </c>
      <c r="M38" s="40">
        <v>0</v>
      </c>
      <c r="N38" s="40">
        <v>0</v>
      </c>
      <c r="O38" s="22">
        <f t="shared" si="0"/>
        <v>0</v>
      </c>
      <c r="P38" s="28">
        <f>IF(O38=1,((NETWORKDAYS(F38,H38)-1)*($M$1-$L$1)+MIN(MAX(MOD(H38,1),(WEEKDAY(H38,2)&gt;5)*$M$1,$L$1),$M$1)-MIN(MAX(MOD(F38,1)*(WEEKDAY(F38,2)&lt;6),$L$1),$M$1)),(H38+"01:12:16"-F38-"24:00:00")-INT(H38-F38)+(DATEDIF(F38,H38,"d"))*($M$1-$L$1))</f>
        <v>0.25310185185662704</v>
      </c>
      <c r="Q38" s="6">
        <f t="shared" si="3"/>
        <v>15</v>
      </c>
      <c r="R38" s="6">
        <f t="shared" si="4"/>
        <v>14</v>
      </c>
      <c r="S38" s="6">
        <f t="shared" si="5"/>
        <v>55</v>
      </c>
      <c r="T38" s="9">
        <f>IF(O38=1,((NETWORKDAYS(I38,J38,Праздники)-1)*($M$1-$L$1)+MIN(MAX(MOD(J38,1),(WEEKDAY(J38,2)&gt;5)*$M$1,$L$1),$M$1)-MIN(MAX(MOD(I38,1)*(WEEKDAY(I38,2)&lt;6),$L$1),$M$1)),MAX((TRUNC(J38-I38)-(MOD(J38,1)&gt;MOD(I38,1)))*($M$1-$L$1)+($M$1-MOD(I38,1))+(MOD(J38,1)-$L$1),0))</f>
        <v>0.20291666666889796</v>
      </c>
      <c r="U38" s="31"/>
      <c r="V38" s="6"/>
      <c r="W38" s="6"/>
      <c r="X38" s="6"/>
      <c r="Y38" s="6"/>
      <c r="Z38" s="6"/>
      <c r="AA38" s="6"/>
      <c r="AB38" s="6"/>
      <c r="AC38" s="7">
        <f t="shared" ref="AC38:AC69" si="10">IF(A38&gt;="ТО",((NETWORKDAYS(F38,H38)-1)*($M$1-$L$1)+MIN(MAX(MOD(H38,1),(WEEKDAY(H38,2)&gt;5)*$M$1,$L$1),$M$1)-MIN(MAX(MOD(F38,1)*(WEEKDAY(F38,2)&lt;6),$L$1),$M$1)),(H38-F38)-INT(H38-F38)+(DATEDIF(F38,H38,"d"))*($M$1-$L$1))</f>
        <v>1.202916666668898</v>
      </c>
      <c r="AD38" s="8">
        <f t="shared" si="8"/>
        <v>1.202916666668898</v>
      </c>
      <c r="AF38" s="13">
        <f t="shared" si="9"/>
        <v>0.25310185185662704</v>
      </c>
    </row>
    <row r="39" spans="1:32" ht="23.25" customHeight="1">
      <c r="A39" s="52" t="s">
        <v>53</v>
      </c>
      <c r="B39" s="50"/>
      <c r="C39" s="50"/>
      <c r="D39" s="51"/>
      <c r="E39" s="3">
        <v>18</v>
      </c>
      <c r="F39" s="12">
        <v>41649.40357638889</v>
      </c>
      <c r="G39" s="12">
        <v>41670.40357638889</v>
      </c>
      <c r="H39" s="12">
        <v>41655.332407407404</v>
      </c>
      <c r="I39" s="58">
        <f>IF(ISNUMBER(MATCH(TRUNC(F39),Праздники,0)),TRUNC(F39)+1+$L$1,TRUNC(F39)+MAX(MOD(F39,1),$L$1))</f>
        <v>41649.40357638889</v>
      </c>
      <c r="J39" s="57">
        <f>IF(ISNUMBER(MATCH(TRUNC(H39),Праздники,0)),TRUNC(H39)-1+$M$1,TRUNC(H39)+MIN(MOD(H39,1),$M$1))-SUMPRODUCT((TRUNC(F39)&lt;Праздники)*(TRUNC(H39)&gt;Праздники))</f>
        <v>41655.332407407404</v>
      </c>
      <c r="K39" s="41">
        <v>504</v>
      </c>
      <c r="L39" s="36">
        <v>142.29194444000001</v>
      </c>
      <c r="M39" s="37">
        <v>0</v>
      </c>
      <c r="N39" s="37">
        <v>0</v>
      </c>
      <c r="O39" s="22">
        <f t="shared" si="0"/>
        <v>1</v>
      </c>
      <c r="P39" s="28">
        <f t="shared" ref="P39:P69" si="11">IF(O39=1,((NETWORKDAYS(F39,H39)-1)*($M$1-$L$1)+MIN(MAX(MOD(H39,1),(WEEKDAY(H39,2)&gt;5)*$M$1,$L$1),$M$1)-MIN(MAX(MOD(F39,1)*(WEEKDAY(F39,2)&lt;6),$L$1),$M$1)),(H39-F39)-INT(H39-F39)+(DATEDIF(F39,H39,"d"))*($M$1-$L$1))</f>
        <v>1.9714236111103673</v>
      </c>
      <c r="Q39" s="6">
        <f t="shared" si="3"/>
        <v>10</v>
      </c>
      <c r="R39" s="6">
        <f t="shared" si="4"/>
        <v>9</v>
      </c>
      <c r="S39" s="6">
        <f t="shared" si="5"/>
        <v>41</v>
      </c>
      <c r="T39" s="9">
        <f>IF(O39=1,((NETWORKDAYS(I39,J39,Праздники)-1)*($M$1-$L$1)+MIN(MAX(MOD(J39,1),(WEEKDAY(J39,2)&gt;5)*$M$1,$L$1),$M$1)-MIN(MAX(MOD(I39,1)*(WEEKDAY(I39,2)&lt;6),$L$1),$M$1)),MAX((TRUNC(J39-I39)-(MOD(J39,1)&gt;MOD(I39,1)))*($M$1-$L$1)+($M$1-MOD(I39,1))+(MOD(J39,1)-$L$1),0))</f>
        <v>1.9714236111103673</v>
      </c>
      <c r="U39" s="6"/>
      <c r="V39" s="6"/>
      <c r="W39" s="6"/>
      <c r="X39" s="6"/>
      <c r="Y39" s="6"/>
      <c r="Z39" s="6"/>
      <c r="AA39" s="6"/>
      <c r="AB39" s="6"/>
      <c r="AC39" s="7">
        <f t="shared" si="10"/>
        <v>1.9714236111103673</v>
      </c>
      <c r="AD39" s="8">
        <f t="shared" si="8"/>
        <v>2.9288310185147566</v>
      </c>
      <c r="AF39" s="13">
        <f t="shared" si="9"/>
        <v>1.9714236111103673</v>
      </c>
    </row>
    <row r="40" spans="1:32" ht="23.25" customHeight="1">
      <c r="A40" s="49" t="s">
        <v>54</v>
      </c>
      <c r="B40" s="50"/>
      <c r="C40" s="50"/>
      <c r="D40" s="51"/>
      <c r="E40" s="4">
        <v>18</v>
      </c>
      <c r="F40" s="12">
        <v>41649.398483796293</v>
      </c>
      <c r="G40" s="12">
        <v>41670.398483796293</v>
      </c>
      <c r="H40" s="12">
        <v>41655.334594907406</v>
      </c>
      <c r="I40" s="58">
        <f>IF(ISNUMBER(MATCH(TRUNC(F40),Праздники,0)),TRUNC(F40)+1+$L$1,TRUNC(F40)+MAX(MOD(F40,1),$L$1))</f>
        <v>41649.398483796293</v>
      </c>
      <c r="J40" s="57">
        <f>IF(ISNUMBER(MATCH(TRUNC(H40),Праздники,0)),TRUNC(H40)-1+$M$1,TRUNC(H40)+MIN(MOD(H40,1),$M$1))-SUMPRODUCT((TRUNC(F40)&lt;Праздники)*(TRUNC(H40)&gt;Праздники))</f>
        <v>41655.334594907406</v>
      </c>
      <c r="K40" s="43">
        <v>504</v>
      </c>
      <c r="L40" s="39">
        <v>142.46666665999999</v>
      </c>
      <c r="M40" s="40">
        <v>0</v>
      </c>
      <c r="N40" s="40">
        <v>0</v>
      </c>
      <c r="O40" s="22">
        <f t="shared" si="0"/>
        <v>1</v>
      </c>
      <c r="P40" s="28">
        <f t="shared" si="11"/>
        <v>1.9765162037074333</v>
      </c>
      <c r="Q40" s="6">
        <f t="shared" si="3"/>
        <v>10</v>
      </c>
      <c r="R40" s="6">
        <f t="shared" si="4"/>
        <v>9</v>
      </c>
      <c r="S40" s="6">
        <f t="shared" si="5"/>
        <v>33</v>
      </c>
      <c r="T40" s="9">
        <f>IF(O40=1,((NETWORKDAYS(I40,J40,Праздники)-1)*($M$1-$L$1)+MIN(MAX(MOD(J40,1),(WEEKDAY(J40,2)&gt;5)*$M$1,$L$1),$M$1)-MIN(MAX(MOD(I40,1)*(WEEKDAY(I40,2)&lt;6),$L$1),$M$1)),MAX((TRUNC(J40-I40)-(MOD(J40,1)&gt;MOD(I40,1)))*($M$1-$L$1)+($M$1-MOD(I40,1))+(MOD(J40,1)-$L$1),0))</f>
        <v>1.9765162037074333</v>
      </c>
      <c r="U40" s="6"/>
      <c r="V40" s="6"/>
      <c r="W40" s="6"/>
      <c r="X40" s="6"/>
      <c r="Y40" s="6"/>
      <c r="Z40" s="6"/>
      <c r="AA40" s="6"/>
      <c r="AB40" s="6"/>
      <c r="AC40" s="7">
        <f t="shared" si="10"/>
        <v>1.9765162037074333</v>
      </c>
      <c r="AD40" s="8">
        <f t="shared" si="8"/>
        <v>2.9361111111138598</v>
      </c>
      <c r="AF40" s="13">
        <f t="shared" si="9"/>
        <v>1.9765162037074333</v>
      </c>
    </row>
    <row r="41" spans="1:32" ht="23.25" customHeight="1">
      <c r="A41" s="52" t="s">
        <v>55</v>
      </c>
      <c r="B41" s="50"/>
      <c r="C41" s="50"/>
      <c r="D41" s="51"/>
      <c r="E41" s="3">
        <v>18</v>
      </c>
      <c r="F41" s="12">
        <v>41649.396423611106</v>
      </c>
      <c r="G41" s="12">
        <v>41670.396423611106</v>
      </c>
      <c r="H41" s="12">
        <v>41655.336041666662</v>
      </c>
      <c r="I41" s="58">
        <f>IF(ISNUMBER(MATCH(TRUNC(F41),Праздники,0)),TRUNC(F41)+1+$L$1,TRUNC(F41)+MAX(MOD(F41,1),$L$1))</f>
        <v>41649.396423611106</v>
      </c>
      <c r="J41" s="57">
        <f>IF(ISNUMBER(MATCH(TRUNC(H41),Праздники,0)),TRUNC(H41)-1+$M$1,TRUNC(H41)+MIN(MOD(H41,1),$M$1))-SUMPRODUCT((TRUNC(F41)&lt;Праздники)*(TRUNC(H41)&gt;Праздники))</f>
        <v>41655.336041666662</v>
      </c>
      <c r="K41" s="41">
        <v>504</v>
      </c>
      <c r="L41" s="36">
        <v>142.55083332999999</v>
      </c>
      <c r="M41" s="37">
        <v>0</v>
      </c>
      <c r="N41" s="37">
        <v>0</v>
      </c>
      <c r="O41" s="22">
        <f t="shared" si="0"/>
        <v>1</v>
      </c>
      <c r="P41" s="28">
        <f t="shared" si="11"/>
        <v>1.9785763888939982</v>
      </c>
      <c r="Q41" s="6">
        <f t="shared" si="3"/>
        <v>10</v>
      </c>
      <c r="R41" s="6">
        <f t="shared" si="4"/>
        <v>9</v>
      </c>
      <c r="S41" s="6">
        <f t="shared" si="5"/>
        <v>30</v>
      </c>
      <c r="T41" s="9">
        <f>IF(O41=1,((NETWORKDAYS(I41,J41,Праздники)-1)*($M$1-$L$1)+MIN(MAX(MOD(J41,1),(WEEKDAY(J41,2)&gt;5)*$M$1,$L$1),$M$1)-MIN(MAX(MOD(I41,1)*(WEEKDAY(I41,2)&lt;6),$L$1),$M$1)),MAX((TRUNC(J41-I41)-(MOD(J41,1)&gt;MOD(I41,1)))*($M$1-$L$1)+($M$1-MOD(I41,1))+(MOD(J41,1)-$L$1),0))</f>
        <v>1.9785763888939982</v>
      </c>
      <c r="U41" s="6"/>
      <c r="V41" s="6"/>
      <c r="W41" s="6"/>
      <c r="X41" s="6"/>
      <c r="Y41" s="6"/>
      <c r="Z41" s="6"/>
      <c r="AA41" s="6"/>
      <c r="AB41" s="6"/>
      <c r="AC41" s="7">
        <f t="shared" si="10"/>
        <v>1.9785763888939982</v>
      </c>
      <c r="AD41" s="8">
        <f t="shared" si="8"/>
        <v>2.9396180555559113</v>
      </c>
      <c r="AF41" s="13">
        <f t="shared" si="9"/>
        <v>1.9785763888939982</v>
      </c>
    </row>
    <row r="42" spans="1:32" ht="23.25" customHeight="1">
      <c r="A42" s="49" t="s">
        <v>56</v>
      </c>
      <c r="B42" s="50"/>
      <c r="C42" s="50"/>
      <c r="D42" s="51"/>
      <c r="E42" s="4">
        <v>18</v>
      </c>
      <c r="F42" s="12">
        <v>41649.39576388889</v>
      </c>
      <c r="G42" s="12">
        <v>41670.39576388889</v>
      </c>
      <c r="H42" s="12">
        <v>41655.340092592589</v>
      </c>
      <c r="I42" s="58">
        <f>IF(ISNUMBER(MATCH(TRUNC(F42),Праздники,0)),TRUNC(F42)+1+$L$1,TRUNC(F42)+MAX(MOD(F42,1),$L$1))</f>
        <v>41649.39576388889</v>
      </c>
      <c r="J42" s="57">
        <f>IF(ISNUMBER(MATCH(TRUNC(H42),Праздники,0)),TRUNC(H42)-1+$M$1,TRUNC(H42)+MIN(MOD(H42,1),$M$1))-SUMPRODUCT((TRUNC(F42)&lt;Праздники)*(TRUNC(H42)&gt;Праздники))</f>
        <v>41655.340092592589</v>
      </c>
      <c r="K42" s="43">
        <v>504</v>
      </c>
      <c r="L42" s="39">
        <v>142.66388888</v>
      </c>
      <c r="M42" s="40">
        <v>0</v>
      </c>
      <c r="N42" s="40">
        <v>0</v>
      </c>
      <c r="O42" s="22">
        <f t="shared" si="0"/>
        <v>1</v>
      </c>
      <c r="P42" s="28">
        <f t="shared" si="11"/>
        <v>1.9792361111103673</v>
      </c>
      <c r="Q42" s="6">
        <f t="shared" si="3"/>
        <v>10</v>
      </c>
      <c r="R42" s="6">
        <f t="shared" si="4"/>
        <v>9</v>
      </c>
      <c r="S42" s="6">
        <f t="shared" si="5"/>
        <v>29</v>
      </c>
      <c r="T42" s="9">
        <f>IF(O42=1,((NETWORKDAYS(I42,J42,Праздники)-1)*($M$1-$L$1)+MIN(MAX(MOD(J42,1),(WEEKDAY(J42,2)&gt;5)*$M$1,$L$1),$M$1)-MIN(MAX(MOD(I42,1)*(WEEKDAY(I42,2)&lt;6),$L$1),$M$1)),MAX((TRUNC(J42-I42)-(MOD(J42,1)&gt;MOD(I42,1)))*($M$1-$L$1)+($M$1-MOD(I42,1))+(MOD(J42,1)-$L$1),0))</f>
        <v>1.9792361111103673</v>
      </c>
      <c r="U42" s="6"/>
      <c r="V42" s="6"/>
      <c r="W42" s="6"/>
      <c r="X42" s="6"/>
      <c r="Y42" s="6"/>
      <c r="Z42" s="6"/>
      <c r="AA42" s="6"/>
      <c r="AB42" s="6"/>
      <c r="AC42" s="7">
        <f t="shared" si="10"/>
        <v>1.9792361111103673</v>
      </c>
      <c r="AD42" s="8">
        <f t="shared" si="8"/>
        <v>2.9443287036992842</v>
      </c>
      <c r="AF42" s="13">
        <f t="shared" si="9"/>
        <v>1.9792361111103673</v>
      </c>
    </row>
    <row r="43" spans="1:32" ht="23.25" customHeight="1">
      <c r="A43" s="52" t="s">
        <v>57</v>
      </c>
      <c r="B43" s="50"/>
      <c r="C43" s="50"/>
      <c r="D43" s="51"/>
      <c r="E43" s="3">
        <v>18</v>
      </c>
      <c r="F43" s="12">
        <v>41649.394120370365</v>
      </c>
      <c r="G43" s="12">
        <v>41670.394120370365</v>
      </c>
      <c r="H43" s="12">
        <v>41655.340844907405</v>
      </c>
      <c r="I43" s="58">
        <f>IF(ISNUMBER(MATCH(TRUNC(F43),Праздники,0)),TRUNC(F43)+1+$L$1,TRUNC(F43)+MAX(MOD(F43,1),$L$1))</f>
        <v>41649.394120370365</v>
      </c>
      <c r="J43" s="57">
        <f>IF(ISNUMBER(MATCH(TRUNC(H43),Праздники,0)),TRUNC(H43)-1+$M$1,TRUNC(H43)+MIN(MOD(H43,1),$M$1))-SUMPRODUCT((TRUNC(F43)&lt;Праздники)*(TRUNC(H43)&gt;Праздники))</f>
        <v>41655.340844907405</v>
      </c>
      <c r="K43" s="41">
        <v>504</v>
      </c>
      <c r="L43" s="36">
        <v>142.72138888000001</v>
      </c>
      <c r="M43" s="37">
        <v>0</v>
      </c>
      <c r="N43" s="37">
        <v>0</v>
      </c>
      <c r="O43" s="22">
        <f t="shared" si="0"/>
        <v>1</v>
      </c>
      <c r="P43" s="28">
        <f t="shared" si="11"/>
        <v>1.9808796296347282</v>
      </c>
      <c r="Q43" s="6">
        <f t="shared" si="3"/>
        <v>10</v>
      </c>
      <c r="R43" s="6">
        <f t="shared" si="4"/>
        <v>9</v>
      </c>
      <c r="S43" s="6">
        <f t="shared" si="5"/>
        <v>27</v>
      </c>
      <c r="T43" s="9">
        <f>IF(O43=1,((NETWORKDAYS(I43,J43,Праздники)-1)*($M$1-$L$1)+MIN(MAX(MOD(J43,1),(WEEKDAY(J43,2)&gt;5)*$M$1,$L$1),$M$1)-MIN(MAX(MOD(I43,1)*(WEEKDAY(I43,2)&lt;6),$L$1),$M$1)),MAX((TRUNC(J43-I43)-(MOD(J43,1)&gt;MOD(I43,1)))*($M$1-$L$1)+($M$1-MOD(I43,1))+(MOD(J43,1)-$L$1),0))</f>
        <v>1.9808796296347282</v>
      </c>
      <c r="U43" s="6"/>
      <c r="V43" s="6"/>
      <c r="W43" s="6"/>
      <c r="X43" s="6"/>
      <c r="Y43" s="6"/>
      <c r="Z43" s="6"/>
      <c r="AA43" s="6"/>
      <c r="AB43" s="6"/>
      <c r="AC43" s="7">
        <f t="shared" si="10"/>
        <v>1.9808796296347282</v>
      </c>
      <c r="AD43" s="8">
        <f t="shared" si="8"/>
        <v>2.9467245370396995</v>
      </c>
      <c r="AF43" s="13">
        <f t="shared" si="9"/>
        <v>1.9808796296347282</v>
      </c>
    </row>
    <row r="44" spans="1:32" ht="23.25" customHeight="1">
      <c r="A44" s="49" t="s">
        <v>58</v>
      </c>
      <c r="B44" s="50"/>
      <c r="C44" s="50"/>
      <c r="D44" s="51"/>
      <c r="E44" s="4">
        <v>18</v>
      </c>
      <c r="F44" s="12">
        <v>41649.377025462964</v>
      </c>
      <c r="G44" s="12">
        <v>41670.377025462964</v>
      </c>
      <c r="H44" s="12">
        <v>41655.342430555553</v>
      </c>
      <c r="I44" s="58">
        <f>IF(ISNUMBER(MATCH(TRUNC(F44),Праздники,0)),TRUNC(F44)+1+$L$1,TRUNC(F44)+MAX(MOD(F44,1),$L$1))</f>
        <v>41649.377025462964</v>
      </c>
      <c r="J44" s="57">
        <f>IF(ISNUMBER(MATCH(TRUNC(H44),Праздники,0)),TRUNC(H44)-1+$M$1,TRUNC(H44)+MIN(MOD(H44,1),$M$1))-SUMPRODUCT((TRUNC(F44)&lt;Праздники)*(TRUNC(H44)&gt;Праздники))</f>
        <v>41655.342430555553</v>
      </c>
      <c r="K44" s="43">
        <v>504</v>
      </c>
      <c r="L44" s="39">
        <v>143.16972222000001</v>
      </c>
      <c r="M44" s="40">
        <v>0</v>
      </c>
      <c r="N44" s="40">
        <v>0</v>
      </c>
      <c r="O44" s="22">
        <f t="shared" si="0"/>
        <v>1</v>
      </c>
      <c r="P44" s="28">
        <f t="shared" si="11"/>
        <v>1.9979745370364981</v>
      </c>
      <c r="Q44" s="6">
        <f t="shared" si="3"/>
        <v>10</v>
      </c>
      <c r="R44" s="6">
        <f t="shared" si="4"/>
        <v>9</v>
      </c>
      <c r="S44" s="6">
        <f t="shared" si="5"/>
        <v>2</v>
      </c>
      <c r="T44" s="9">
        <f>IF(O44=1,((NETWORKDAYS(I44,J44,Праздники)-1)*($M$1-$L$1)+MIN(MAX(MOD(J44,1),(WEEKDAY(J44,2)&gt;5)*$M$1,$L$1),$M$1)-MIN(MAX(MOD(I44,1)*(WEEKDAY(I44,2)&lt;6),$L$1),$M$1)),MAX((TRUNC(J44-I44)-(MOD(J44,1)&gt;MOD(I44,1)))*($M$1-$L$1)+($M$1-MOD(I44,1))+(MOD(J44,1)-$L$1),0))</f>
        <v>1.9979745370364981</v>
      </c>
      <c r="U44" s="6"/>
      <c r="V44" s="6"/>
      <c r="W44" s="6"/>
      <c r="X44" s="6"/>
      <c r="Y44" s="6"/>
      <c r="Z44" s="6"/>
      <c r="AA44" s="6"/>
      <c r="AB44" s="6"/>
      <c r="AC44" s="7">
        <f t="shared" si="10"/>
        <v>1.9979745370364981</v>
      </c>
      <c r="AD44" s="8">
        <f t="shared" si="8"/>
        <v>2.9654050925892079</v>
      </c>
      <c r="AF44" s="13">
        <f t="shared" si="9"/>
        <v>1.9979745370364981</v>
      </c>
    </row>
    <row r="45" spans="1:32" ht="23.25" customHeight="1">
      <c r="A45" s="52" t="s">
        <v>59</v>
      </c>
      <c r="B45" s="50"/>
      <c r="C45" s="50"/>
      <c r="D45" s="51"/>
      <c r="E45" s="3">
        <v>18</v>
      </c>
      <c r="F45" s="12">
        <v>41649.366689814815</v>
      </c>
      <c r="G45" s="12">
        <v>41670.366689814815</v>
      </c>
      <c r="H45" s="12">
        <v>41655.344201388885</v>
      </c>
      <c r="I45" s="58">
        <f>IF(ISNUMBER(MATCH(TRUNC(F45),Праздники,0)),TRUNC(F45)+1+$L$1,TRUNC(F45)+MAX(MOD(F45,1),$L$1))</f>
        <v>41649.375</v>
      </c>
      <c r="J45" s="57">
        <f>IF(ISNUMBER(MATCH(TRUNC(H45),Праздники,0)),TRUNC(H45)-1+$M$1,TRUNC(H45)+MIN(MOD(H45,1),$M$1))-SUMPRODUCT((TRUNC(F45)&lt;Праздники)*(TRUNC(H45)&gt;Праздники))</f>
        <v>41655.344201388885</v>
      </c>
      <c r="K45" s="41">
        <v>504</v>
      </c>
      <c r="L45" s="36">
        <v>143.46027777</v>
      </c>
      <c r="M45" s="37">
        <v>0</v>
      </c>
      <c r="N45" s="37">
        <v>0</v>
      </c>
      <c r="O45" s="22">
        <f t="shared" si="0"/>
        <v>1</v>
      </c>
      <c r="P45" s="28">
        <f t="shared" si="11"/>
        <v>2</v>
      </c>
      <c r="Q45" s="6">
        <f t="shared" si="3"/>
        <v>10</v>
      </c>
      <c r="R45" s="6">
        <f t="shared" si="4"/>
        <v>8</v>
      </c>
      <c r="S45" s="6">
        <f t="shared" si="5"/>
        <v>48</v>
      </c>
      <c r="T45" s="9">
        <f>IF(O45=1,((NETWORKDAYS(I45,J45,Праздники)-1)*($M$1-$L$1)+MIN(MAX(MOD(J45,1),(WEEKDAY(J45,2)&gt;5)*$M$1,$L$1),$M$1)-MIN(MAX(MOD(I45,1)*(WEEKDAY(I45,2)&lt;6),$L$1),$M$1)),MAX((TRUNC(J45-I45)-(MOD(J45,1)&gt;MOD(I45,1)))*($M$1-$L$1)+($M$1-MOD(I45,1))+(MOD(J45,1)-$L$1),0))</f>
        <v>2</v>
      </c>
      <c r="U45" s="6"/>
      <c r="V45" s="6"/>
      <c r="W45" s="6"/>
      <c r="X45" s="6"/>
      <c r="Y45" s="6"/>
      <c r="Z45" s="6"/>
      <c r="AA45" s="6"/>
      <c r="AB45" s="6"/>
      <c r="AC45" s="7">
        <f t="shared" si="10"/>
        <v>2</v>
      </c>
      <c r="AD45" s="8">
        <f t="shared" si="8"/>
        <v>2.9775115740703768</v>
      </c>
      <c r="AF45" s="13">
        <f t="shared" si="9"/>
        <v>2</v>
      </c>
    </row>
    <row r="46" spans="1:32" ht="23.25" customHeight="1">
      <c r="A46" s="49" t="s">
        <v>60</v>
      </c>
      <c r="B46" s="50"/>
      <c r="C46" s="50"/>
      <c r="D46" s="51"/>
      <c r="E46" s="4">
        <v>18</v>
      </c>
      <c r="F46" s="12">
        <v>41649.366261574076</v>
      </c>
      <c r="G46" s="12">
        <v>41670.366261574076</v>
      </c>
      <c r="H46" s="12">
        <v>41655.345787037033</v>
      </c>
      <c r="I46" s="58">
        <f>IF(ISNUMBER(MATCH(TRUNC(F46),Праздники,0)),TRUNC(F46)+1+$L$1,TRUNC(F46)+MAX(MOD(F46,1),$L$1))</f>
        <v>41649.375</v>
      </c>
      <c r="J46" s="57">
        <f>IF(ISNUMBER(MATCH(TRUNC(H46),Праздники,0)),TRUNC(H46)-1+$M$1,TRUNC(H46)+MIN(MOD(H46,1),$M$1))-SUMPRODUCT((TRUNC(F46)&lt;Праздники)*(TRUNC(H46)&gt;Праздники))</f>
        <v>41655.345787037033</v>
      </c>
      <c r="K46" s="43">
        <v>504</v>
      </c>
      <c r="L46" s="39">
        <v>143.50861111</v>
      </c>
      <c r="M46" s="40">
        <v>0</v>
      </c>
      <c r="N46" s="40">
        <v>0</v>
      </c>
      <c r="O46" s="22">
        <f t="shared" si="0"/>
        <v>1</v>
      </c>
      <c r="P46" s="28">
        <f t="shared" si="11"/>
        <v>2</v>
      </c>
      <c r="Q46" s="6">
        <f t="shared" si="3"/>
        <v>10</v>
      </c>
      <c r="R46" s="6">
        <f t="shared" si="4"/>
        <v>8</v>
      </c>
      <c r="S46" s="6">
        <f t="shared" si="5"/>
        <v>47</v>
      </c>
      <c r="T46" s="9">
        <f>IF(O46=1,((NETWORKDAYS(I46,J46,Праздники)-1)*($M$1-$L$1)+MIN(MAX(MOD(J46,1),(WEEKDAY(J46,2)&gt;5)*$M$1,$L$1),$M$1)-MIN(MAX(MOD(I46,1)*(WEEKDAY(I46,2)&lt;6),$L$1),$M$1)),MAX((TRUNC(J46-I46)-(MOD(J46,1)&gt;MOD(I46,1)))*($M$1-$L$1)+($M$1-MOD(I46,1))+(MOD(J46,1)-$L$1),0))</f>
        <v>2</v>
      </c>
      <c r="U46" s="6"/>
      <c r="V46" s="6"/>
      <c r="W46" s="6"/>
      <c r="X46" s="6"/>
      <c r="Y46" s="6"/>
      <c r="Z46" s="6"/>
      <c r="AA46" s="6"/>
      <c r="AB46" s="6"/>
      <c r="AC46" s="7">
        <f t="shared" si="10"/>
        <v>2</v>
      </c>
      <c r="AD46" s="8">
        <f t="shared" si="8"/>
        <v>2.9795254629570991</v>
      </c>
      <c r="AF46" s="13">
        <f t="shared" si="9"/>
        <v>2</v>
      </c>
    </row>
    <row r="47" spans="1:32" ht="23.25" customHeight="1">
      <c r="A47" s="52" t="s">
        <v>61</v>
      </c>
      <c r="B47" s="50"/>
      <c r="C47" s="50"/>
      <c r="D47" s="51"/>
      <c r="E47" s="3">
        <v>18</v>
      </c>
      <c r="F47" s="12">
        <v>41649.365405092591</v>
      </c>
      <c r="G47" s="12">
        <v>41670.365405092591</v>
      </c>
      <c r="H47" s="12">
        <v>41655.347696759258</v>
      </c>
      <c r="I47" s="58">
        <f>IF(ISNUMBER(MATCH(TRUNC(F47),Праздники,0)),TRUNC(F47)+1+$L$1,TRUNC(F47)+MAX(MOD(F47,1),$L$1))</f>
        <v>41649.375</v>
      </c>
      <c r="J47" s="57">
        <f>IF(ISNUMBER(MATCH(TRUNC(H47),Праздники,0)),TRUNC(H47)-1+$M$1,TRUNC(H47)+MIN(MOD(H47,1),$M$1))-SUMPRODUCT((TRUNC(F47)&lt;Праздники)*(TRUNC(H47)&gt;Праздники))</f>
        <v>41655.347696759258</v>
      </c>
      <c r="K47" s="41">
        <v>504</v>
      </c>
      <c r="L47" s="36">
        <v>143.57499999999999</v>
      </c>
      <c r="M47" s="37">
        <v>0</v>
      </c>
      <c r="N47" s="37">
        <v>0</v>
      </c>
      <c r="O47" s="22">
        <f t="shared" si="0"/>
        <v>1</v>
      </c>
      <c r="P47" s="28">
        <f t="shared" si="11"/>
        <v>2</v>
      </c>
      <c r="Q47" s="6">
        <f t="shared" si="3"/>
        <v>10</v>
      </c>
      <c r="R47" s="6">
        <f t="shared" si="4"/>
        <v>8</v>
      </c>
      <c r="S47" s="6">
        <f t="shared" si="5"/>
        <v>46</v>
      </c>
      <c r="T47" s="9">
        <f>IF(O47=1,((NETWORKDAYS(I47,J47,Праздники)-1)*($M$1-$L$1)+MIN(MAX(MOD(J47,1),(WEEKDAY(J47,2)&gt;5)*$M$1,$L$1),$M$1)-MIN(MAX(MOD(I47,1)*(WEEKDAY(I47,2)&lt;6),$L$1),$M$1)),MAX((TRUNC(J47-I47)-(MOD(J47,1)&gt;MOD(I47,1)))*($M$1-$L$1)+($M$1-MOD(I47,1))+(MOD(J47,1)-$L$1),0))</f>
        <v>2</v>
      </c>
      <c r="U47" s="6"/>
      <c r="V47" s="6"/>
      <c r="W47" s="6"/>
      <c r="X47" s="6"/>
      <c r="Y47" s="6"/>
      <c r="Z47" s="6"/>
      <c r="AA47" s="6"/>
      <c r="AB47" s="6"/>
      <c r="AC47" s="7">
        <f t="shared" si="10"/>
        <v>2</v>
      </c>
      <c r="AD47" s="8">
        <f t="shared" si="8"/>
        <v>2.9822916666671517</v>
      </c>
      <c r="AF47" s="13">
        <f t="shared" si="9"/>
        <v>2</v>
      </c>
    </row>
    <row r="48" spans="1:32" ht="23.25" customHeight="1">
      <c r="A48" s="49" t="s">
        <v>17</v>
      </c>
      <c r="B48" s="50"/>
      <c r="C48" s="50"/>
      <c r="D48" s="51"/>
      <c r="E48" s="4">
        <v>34</v>
      </c>
      <c r="F48" s="12">
        <v>41654.58866898148</v>
      </c>
      <c r="G48" s="12">
        <v>41655.755335648144</v>
      </c>
      <c r="H48" s="12">
        <v>41655.470520833333</v>
      </c>
      <c r="I48" s="58">
        <f>IF(ISNUMBER(MATCH(TRUNC(F48),Праздники,0)),TRUNC(F48)+1+$L$1,TRUNC(F48)+MAX(MOD(F48,1),$L$1))</f>
        <v>41654.58866898148</v>
      </c>
      <c r="J48" s="57">
        <f>IF(ISNUMBER(MATCH(TRUNC(H48),Праздники,0)),TRUNC(H48)-1+$M$1,TRUNC(H48)+MIN(MOD(H48,1),$M$1))-SUMPRODUCT((TRUNC(F48)&lt;Праздники)*(TRUNC(H48)&gt;Праздники))</f>
        <v>41655.470520833333</v>
      </c>
      <c r="K48" s="43">
        <v>16</v>
      </c>
      <c r="L48" s="39">
        <v>9.1644444400000005</v>
      </c>
      <c r="M48" s="40">
        <v>0</v>
      </c>
      <c r="N48" s="40">
        <v>0</v>
      </c>
      <c r="O48" s="22">
        <f t="shared" si="0"/>
        <v>0</v>
      </c>
      <c r="P48" s="29">
        <f t="shared" si="11"/>
        <v>1.3818518518528435</v>
      </c>
      <c r="Q48" s="6">
        <f t="shared" si="3"/>
        <v>15</v>
      </c>
      <c r="R48" s="6">
        <f t="shared" si="4"/>
        <v>14</v>
      </c>
      <c r="S48" s="6">
        <f t="shared" si="5"/>
        <v>7</v>
      </c>
      <c r="T48" s="9">
        <f>IF(O48=1,((NETWORKDAYS(I48,J48,Праздники)-1)*($M$1-$L$1)+MIN(MAX(MOD(J48,1),(WEEKDAY(J48,2)&gt;5)*$M$1,$L$1),$M$1)-MIN(MAX(MOD(I48,1)*(WEEKDAY(I48,2)&lt;6),$L$1),$M$1)),MAX((TRUNC(J48-I48)-(MOD(J48,1)&gt;MOD(I48,1)))*($M$1-$L$1)+($M$1-MOD(I48,1))+(MOD(J48,1)-$L$1),0))</f>
        <v>0.38185185185284354</v>
      </c>
      <c r="U48" s="6"/>
      <c r="V48" s="6"/>
      <c r="W48" s="6"/>
      <c r="X48" s="6"/>
      <c r="Y48" s="6"/>
      <c r="Z48" s="6"/>
      <c r="AA48" s="6"/>
      <c r="AB48" s="6"/>
      <c r="AC48" s="7">
        <f t="shared" si="10"/>
        <v>1.3818518518528435</v>
      </c>
      <c r="AD48" s="8">
        <f t="shared" si="8"/>
        <v>1.3818518518528435</v>
      </c>
      <c r="AF48" s="13">
        <f t="shared" si="9"/>
        <v>0.38185185185284354</v>
      </c>
    </row>
    <row r="49" spans="1:32" ht="23.25" customHeight="1">
      <c r="A49" s="52" t="s">
        <v>18</v>
      </c>
      <c r="B49" s="50"/>
      <c r="C49" s="50"/>
      <c r="D49" s="51"/>
      <c r="E49" s="3">
        <v>34</v>
      </c>
      <c r="F49" s="12">
        <v>41654.563680555555</v>
      </c>
      <c r="G49" s="12">
        <v>41655.730347222219</v>
      </c>
      <c r="H49" s="12">
        <v>41655.561053240737</v>
      </c>
      <c r="I49" s="58">
        <f>IF(ISNUMBER(MATCH(TRUNC(F49),Праздники,0)),TRUNC(F49)+1+$L$1,TRUNC(F49)+MAX(MOD(F49,1),$L$1))</f>
        <v>41654.563680555555</v>
      </c>
      <c r="J49" s="57">
        <f>IF(ISNUMBER(MATCH(TRUNC(H49),Праздники,0)),TRUNC(H49)-1+$M$1,TRUNC(H49)+MIN(MOD(H49,1),$M$1))-SUMPRODUCT((TRUNC(F49)&lt;Праздники)*(TRUNC(H49)&gt;Праздники))</f>
        <v>41655.561053240737</v>
      </c>
      <c r="K49" s="41">
        <v>16</v>
      </c>
      <c r="L49" s="36">
        <v>11.93694444</v>
      </c>
      <c r="M49" s="37">
        <v>0</v>
      </c>
      <c r="N49" s="37">
        <v>0</v>
      </c>
      <c r="O49" s="22">
        <f t="shared" si="0"/>
        <v>0</v>
      </c>
      <c r="P49" s="29">
        <f t="shared" si="11"/>
        <v>1.4973726851821993</v>
      </c>
      <c r="Q49" s="6">
        <f t="shared" si="3"/>
        <v>15</v>
      </c>
      <c r="R49" s="6">
        <f t="shared" si="4"/>
        <v>13</v>
      </c>
      <c r="S49" s="6">
        <f t="shared" si="5"/>
        <v>31</v>
      </c>
      <c r="T49" s="9">
        <f>IF(O49=1,((NETWORKDAYS(I49,J49,Праздники)-1)*($M$1-$L$1)+MIN(MAX(MOD(J49,1),(WEEKDAY(J49,2)&gt;5)*$M$1,$L$1),$M$1)-MIN(MAX(MOD(I49,1)*(WEEKDAY(I49,2)&lt;6),$L$1),$M$1)),MAX((TRUNC(J49-I49)-(MOD(J49,1)&gt;MOD(I49,1)))*($M$1-$L$1)+($M$1-MOD(I49,1))+(MOD(J49,1)-$L$1),0))</f>
        <v>0.49737268518219935</v>
      </c>
      <c r="U49" s="6"/>
      <c r="V49" s="6"/>
      <c r="W49" s="6"/>
      <c r="X49" s="6"/>
      <c r="Y49" s="6"/>
      <c r="Z49" s="6"/>
      <c r="AA49" s="6"/>
      <c r="AB49" s="6"/>
      <c r="AC49" s="7">
        <f t="shared" si="10"/>
        <v>1.4973726851821993</v>
      </c>
      <c r="AD49" s="8">
        <f t="shared" si="8"/>
        <v>1.4973726851821993</v>
      </c>
      <c r="AF49" s="13">
        <f t="shared" si="9"/>
        <v>0.49737268518219935</v>
      </c>
    </row>
    <row r="50" spans="1:32" ht="23.25" customHeight="1">
      <c r="A50" s="49" t="s">
        <v>62</v>
      </c>
      <c r="B50" s="50"/>
      <c r="C50" s="50"/>
      <c r="D50" s="51"/>
      <c r="E50" s="4">
        <v>18</v>
      </c>
      <c r="F50" s="12">
        <v>41650.816458333335</v>
      </c>
      <c r="G50" s="12">
        <v>41671.816458333335</v>
      </c>
      <c r="H50" s="12">
        <v>41655.576481481483</v>
      </c>
      <c r="I50" s="58">
        <f>IF(ISNUMBER(MATCH(TRUNC(F50),Праздники,0)),TRUNC(F50)+1+$L$1,TRUNC(F50)+MAX(MOD(F50,1),$L$1))</f>
        <v>41650.816458333335</v>
      </c>
      <c r="J50" s="57">
        <f>IF(ISNUMBER(MATCH(TRUNC(H50),Праздники,0)),TRUNC(H50)-1+$M$1,TRUNC(H50)+MIN(MOD(H50,1),$M$1))-SUMPRODUCT((TRUNC(F50)&lt;Праздники)*(TRUNC(H50)&gt;Праздники))</f>
        <v>41655.576481481483</v>
      </c>
      <c r="K50" s="43">
        <v>504</v>
      </c>
      <c r="L50" s="39">
        <v>114.24055555</v>
      </c>
      <c r="M50" s="40">
        <v>0</v>
      </c>
      <c r="N50" s="40">
        <v>0</v>
      </c>
      <c r="O50" s="22">
        <f t="shared" si="0"/>
        <v>1</v>
      </c>
      <c r="P50" s="29">
        <f t="shared" si="11"/>
        <v>1.7014814814829151</v>
      </c>
      <c r="Q50" s="6">
        <f t="shared" si="3"/>
        <v>11</v>
      </c>
      <c r="R50" s="6">
        <f t="shared" si="4"/>
        <v>19</v>
      </c>
      <c r="S50" s="6">
        <f t="shared" si="5"/>
        <v>35</v>
      </c>
      <c r="T50" s="9">
        <f>IF(O50=1,((NETWORKDAYS(I50,J50,Праздники)-1)*($M$1-$L$1)+MIN(MAX(MOD(J50,1),(WEEKDAY(J50,2)&gt;5)*$M$1,$L$1),$M$1)-MIN(MAX(MOD(I50,1)*(WEEKDAY(I50,2)&lt;6),$L$1),$M$1)),MAX((TRUNC(J50-I50)-(MOD(J50,1)&gt;MOD(I50,1)))*($M$1-$L$1)+($M$1-MOD(I50,1))+(MOD(J50,1)-$L$1),0))</f>
        <v>1.7014814814829151</v>
      </c>
      <c r="U50" s="6"/>
      <c r="V50" s="6"/>
      <c r="W50" s="6"/>
      <c r="X50" s="6"/>
      <c r="Y50" s="6"/>
      <c r="Z50" s="6"/>
      <c r="AA50" s="6"/>
      <c r="AB50" s="6"/>
      <c r="AC50" s="7">
        <f t="shared" si="10"/>
        <v>1.7014814814829151</v>
      </c>
      <c r="AD50" s="8">
        <f t="shared" si="8"/>
        <v>2.2600231481483206</v>
      </c>
      <c r="AF50" s="13">
        <f t="shared" si="9"/>
        <v>1.7014814814829151</v>
      </c>
    </row>
    <row r="51" spans="1:32" ht="23.25" customHeight="1">
      <c r="A51" s="52" t="s">
        <v>63</v>
      </c>
      <c r="B51" s="50"/>
      <c r="C51" s="50"/>
      <c r="D51" s="51"/>
      <c r="E51" s="3">
        <v>18</v>
      </c>
      <c r="F51" s="12">
        <v>41650.822476851848</v>
      </c>
      <c r="G51" s="12">
        <v>41671.822476851848</v>
      </c>
      <c r="H51" s="12">
        <v>41655.577256944445</v>
      </c>
      <c r="I51" s="58">
        <f>IF(ISNUMBER(MATCH(TRUNC(F51),Праздники,0)),TRUNC(F51)+1+$L$1,TRUNC(F51)+MAX(MOD(F51,1),$L$1))</f>
        <v>41650.822476851848</v>
      </c>
      <c r="J51" s="57">
        <f>IF(ISNUMBER(MATCH(TRUNC(H51),Праздники,0)),TRUNC(H51)-1+$M$1,TRUNC(H51)+MIN(MOD(H51,1),$M$1))-SUMPRODUCT((TRUNC(F51)&lt;Праздники)*(TRUNC(H51)&gt;Праздники))</f>
        <v>41655.577256944445</v>
      </c>
      <c r="K51" s="41">
        <v>504</v>
      </c>
      <c r="L51" s="36">
        <v>114.11472222</v>
      </c>
      <c r="M51" s="37">
        <v>0</v>
      </c>
      <c r="N51" s="37">
        <v>0</v>
      </c>
      <c r="O51" s="22">
        <f t="shared" si="0"/>
        <v>1</v>
      </c>
      <c r="P51" s="29">
        <f t="shared" si="11"/>
        <v>1.7022569444452529</v>
      </c>
      <c r="Q51" s="6">
        <f t="shared" si="3"/>
        <v>11</v>
      </c>
      <c r="R51" s="6">
        <f t="shared" si="4"/>
        <v>19</v>
      </c>
      <c r="S51" s="6">
        <f t="shared" si="5"/>
        <v>44</v>
      </c>
      <c r="T51" s="9">
        <f>IF(O51=1,((NETWORKDAYS(I51,J51,Праздники)-1)*($M$1-$L$1)+MIN(MAX(MOD(J51,1),(WEEKDAY(J51,2)&gt;5)*$M$1,$L$1),$M$1)-MIN(MAX(MOD(I51,1)*(WEEKDAY(I51,2)&lt;6),$L$1),$M$1)),MAX((TRUNC(J51-I51)-(MOD(J51,1)&gt;MOD(I51,1)))*($M$1-$L$1)+($M$1-MOD(I51,1))+(MOD(J51,1)-$L$1),0))</f>
        <v>1.7022569444452529</v>
      </c>
      <c r="U51" s="6"/>
      <c r="V51" s="6"/>
      <c r="W51" s="6"/>
      <c r="X51" s="6"/>
      <c r="Y51" s="6"/>
      <c r="Z51" s="6"/>
      <c r="AA51" s="6"/>
      <c r="AB51" s="6"/>
      <c r="AC51" s="7">
        <f t="shared" si="10"/>
        <v>1.7022569444452529</v>
      </c>
      <c r="AD51" s="8">
        <f t="shared" si="8"/>
        <v>2.2547800925967749</v>
      </c>
      <c r="AF51" s="13">
        <f t="shared" si="9"/>
        <v>1.7022569444452529</v>
      </c>
    </row>
    <row r="52" spans="1:32" ht="23.25" customHeight="1">
      <c r="A52" s="49" t="s">
        <v>64</v>
      </c>
      <c r="B52" s="50"/>
      <c r="C52" s="50"/>
      <c r="D52" s="51"/>
      <c r="E52" s="4">
        <v>18</v>
      </c>
      <c r="F52" s="12">
        <v>41650.820081018515</v>
      </c>
      <c r="G52" s="12">
        <v>41671.820081018515</v>
      </c>
      <c r="H52" s="12">
        <v>41655.579398148147</v>
      </c>
      <c r="I52" s="58">
        <f>IF(ISNUMBER(MATCH(TRUNC(F52),Праздники,0)),TRUNC(F52)+1+$L$1,TRUNC(F52)+MAX(MOD(F52,1),$L$1))</f>
        <v>41650.820081018515</v>
      </c>
      <c r="J52" s="57">
        <f>IF(ISNUMBER(MATCH(TRUNC(H52),Праздники,0)),TRUNC(H52)-1+$M$1,TRUNC(H52)+MIN(MOD(H52,1),$M$1))-SUMPRODUCT((TRUNC(F52)&lt;Праздники)*(TRUNC(H52)&gt;Праздники))</f>
        <v>41655.579398148147</v>
      </c>
      <c r="K52" s="43">
        <v>504</v>
      </c>
      <c r="L52" s="39">
        <v>114.22361110999999</v>
      </c>
      <c r="M52" s="40">
        <v>0</v>
      </c>
      <c r="N52" s="40">
        <v>0</v>
      </c>
      <c r="O52" s="22">
        <f t="shared" si="0"/>
        <v>1</v>
      </c>
      <c r="P52" s="29">
        <f t="shared" si="11"/>
        <v>1.7043981481474475</v>
      </c>
      <c r="Q52" s="6">
        <f t="shared" si="3"/>
        <v>11</v>
      </c>
      <c r="R52" s="6">
        <f t="shared" si="4"/>
        <v>19</v>
      </c>
      <c r="S52" s="6">
        <f t="shared" si="5"/>
        <v>40</v>
      </c>
      <c r="T52" s="9">
        <f>IF(O52=1,((NETWORKDAYS(I52,J52,Праздники)-1)*($M$1-$L$1)+MIN(MAX(MOD(J52,1),(WEEKDAY(J52,2)&gt;5)*$M$1,$L$1),$M$1)-MIN(MAX(MOD(I52,1)*(WEEKDAY(I52,2)&lt;6),$L$1),$M$1)),MAX((TRUNC(J52-I52)-(MOD(J52,1)&gt;MOD(I52,1)))*($M$1-$L$1)+($M$1-MOD(I52,1))+(MOD(J52,1)-$L$1),0))</f>
        <v>1.7043981481474475</v>
      </c>
      <c r="U52" s="6"/>
      <c r="V52" s="6"/>
      <c r="W52" s="6"/>
      <c r="X52" s="6"/>
      <c r="Y52" s="6"/>
      <c r="Z52" s="6"/>
      <c r="AA52" s="6"/>
      <c r="AB52" s="6"/>
      <c r="AC52" s="7">
        <f t="shared" si="10"/>
        <v>1.7043981481474475</v>
      </c>
      <c r="AD52" s="8">
        <f t="shared" si="8"/>
        <v>2.2593171296321088</v>
      </c>
      <c r="AF52" s="13">
        <f t="shared" si="9"/>
        <v>1.7043981481474475</v>
      </c>
    </row>
    <row r="53" spans="1:32" ht="23.25" customHeight="1">
      <c r="A53" s="52" t="s">
        <v>65</v>
      </c>
      <c r="B53" s="50"/>
      <c r="C53" s="50"/>
      <c r="D53" s="51"/>
      <c r="E53" s="3">
        <v>18</v>
      </c>
      <c r="F53" s="12">
        <v>41650.818136574075</v>
      </c>
      <c r="G53" s="12">
        <v>41671.818136574075</v>
      </c>
      <c r="H53" s="12">
        <v>41655.581990740742</v>
      </c>
      <c r="I53" s="58">
        <f>IF(ISNUMBER(MATCH(TRUNC(F53),Праздники,0)),TRUNC(F53)+1+$L$1,TRUNC(F53)+MAX(MOD(F53,1),$L$1))</f>
        <v>41650.818136574075</v>
      </c>
      <c r="J53" s="57">
        <f>IF(ISNUMBER(MATCH(TRUNC(H53),Праздники,0)),TRUNC(H53)-1+$M$1,TRUNC(H53)+MIN(MOD(H53,1),$M$1))-SUMPRODUCT((TRUNC(F53)&lt;Праздники)*(TRUNC(H53)&gt;Праздники))</f>
        <v>41655.581990740742</v>
      </c>
      <c r="K53" s="41">
        <v>504</v>
      </c>
      <c r="L53" s="36">
        <v>114.3325</v>
      </c>
      <c r="M53" s="37">
        <v>0</v>
      </c>
      <c r="N53" s="37">
        <v>0</v>
      </c>
      <c r="O53" s="22">
        <f t="shared" si="0"/>
        <v>1</v>
      </c>
      <c r="P53" s="29">
        <f t="shared" si="11"/>
        <v>1.7069907407421852</v>
      </c>
      <c r="Q53" s="6">
        <f t="shared" si="3"/>
        <v>11</v>
      </c>
      <c r="R53" s="6">
        <f t="shared" si="4"/>
        <v>19</v>
      </c>
      <c r="S53" s="6">
        <f t="shared" si="5"/>
        <v>38</v>
      </c>
      <c r="T53" s="9">
        <f>IF(O53=1,((NETWORKDAYS(I53,J53,Праздники)-1)*($M$1-$L$1)+MIN(MAX(MOD(J53,1),(WEEKDAY(J53,2)&gt;5)*$M$1,$L$1),$M$1)-MIN(MAX(MOD(I53,1)*(WEEKDAY(I53,2)&lt;6),$L$1),$M$1)),MAX((TRUNC(J53-I53)-(MOD(J53,1)&gt;MOD(I53,1)))*($M$1-$L$1)+($M$1-MOD(I53,1))+(MOD(J53,1)-$L$1),0))</f>
        <v>1.7069907407421852</v>
      </c>
      <c r="U53" s="6"/>
      <c r="V53" s="6"/>
      <c r="W53" s="6"/>
      <c r="X53" s="6"/>
      <c r="Y53" s="6"/>
      <c r="Z53" s="6"/>
      <c r="AA53" s="6"/>
      <c r="AB53" s="6"/>
      <c r="AC53" s="7">
        <f t="shared" si="10"/>
        <v>1.7069907407421852</v>
      </c>
      <c r="AD53" s="8">
        <f t="shared" si="8"/>
        <v>2.2638541666674428</v>
      </c>
      <c r="AF53" s="13">
        <f t="shared" si="9"/>
        <v>1.7069907407421852</v>
      </c>
    </row>
    <row r="54" spans="1:32" ht="23.25" customHeight="1">
      <c r="A54" s="49" t="s">
        <v>66</v>
      </c>
      <c r="B54" s="50"/>
      <c r="C54" s="50"/>
      <c r="D54" s="51"/>
      <c r="E54" s="4">
        <v>18</v>
      </c>
      <c r="F54" s="12">
        <v>41650.818842592591</v>
      </c>
      <c r="G54" s="12">
        <v>41671.818842592591</v>
      </c>
      <c r="H54" s="12">
        <v>41655.58898148148</v>
      </c>
      <c r="I54" s="58">
        <f>IF(ISNUMBER(MATCH(TRUNC(F54),Праздники,0)),TRUNC(F54)+1+$L$1,TRUNC(F54)+MAX(MOD(F54,1),$L$1))</f>
        <v>41650.818842592591</v>
      </c>
      <c r="J54" s="57">
        <f>IF(ISNUMBER(MATCH(TRUNC(H54),Праздники,0)),TRUNC(H54)-1+$M$1,TRUNC(H54)+MIN(MOD(H54,1),$M$1))-SUMPRODUCT((TRUNC(F54)&lt;Праздники)*(TRUNC(H54)&gt;Праздники))</f>
        <v>41655.58898148148</v>
      </c>
      <c r="K54" s="43">
        <v>504</v>
      </c>
      <c r="L54" s="39">
        <v>114.48333332999999</v>
      </c>
      <c r="M54" s="40">
        <v>0</v>
      </c>
      <c r="N54" s="40">
        <v>0</v>
      </c>
      <c r="O54" s="22">
        <f t="shared" si="0"/>
        <v>1</v>
      </c>
      <c r="P54" s="29">
        <f t="shared" si="11"/>
        <v>1.7139814814800047</v>
      </c>
      <c r="Q54" s="6">
        <f t="shared" si="3"/>
        <v>11</v>
      </c>
      <c r="R54" s="6">
        <f t="shared" si="4"/>
        <v>19</v>
      </c>
      <c r="S54" s="6">
        <f t="shared" si="5"/>
        <v>39</v>
      </c>
      <c r="T54" s="9">
        <f>IF(O54=1,((NETWORKDAYS(I54,J54,Праздники)-1)*($M$1-$L$1)+MIN(MAX(MOD(J54,1),(WEEKDAY(J54,2)&gt;5)*$M$1,$L$1),$M$1)-MIN(MAX(MOD(I54,1)*(WEEKDAY(I54,2)&lt;6),$L$1),$M$1)),MAX((TRUNC(J54-I54)-(MOD(J54,1)&gt;MOD(I54,1)))*($M$1-$L$1)+($M$1-MOD(I54,1))+(MOD(J54,1)-$L$1),0))</f>
        <v>1.7139814814800047</v>
      </c>
      <c r="U54" s="6"/>
      <c r="V54" s="6"/>
      <c r="W54" s="6"/>
      <c r="X54" s="6"/>
      <c r="Y54" s="6"/>
      <c r="Z54" s="6"/>
      <c r="AA54" s="6"/>
      <c r="AB54" s="6"/>
      <c r="AC54" s="7">
        <f t="shared" si="10"/>
        <v>1.7139814814800047</v>
      </c>
      <c r="AD54" s="8">
        <f t="shared" si="8"/>
        <v>2.2701388888890506</v>
      </c>
      <c r="AF54" s="13">
        <f t="shared" si="9"/>
        <v>1.7139814814800047</v>
      </c>
    </row>
    <row r="55" spans="1:32" ht="23.25" customHeight="1">
      <c r="A55" s="52" t="s">
        <v>19</v>
      </c>
      <c r="B55" s="50"/>
      <c r="C55" s="50"/>
      <c r="D55" s="51"/>
      <c r="E55" s="3">
        <v>34</v>
      </c>
      <c r="F55" s="12">
        <v>41655.296319444446</v>
      </c>
      <c r="G55" s="12">
        <v>41656.479166666664</v>
      </c>
      <c r="H55" s="12">
        <v>41655.629432870366</v>
      </c>
      <c r="I55" s="58">
        <f>IF(ISNUMBER(MATCH(TRUNC(F55),Праздники,0)),TRUNC(F55)+1+$L$1,TRUNC(F55)+MAX(MOD(F55,1),$L$1))</f>
        <v>41655.375</v>
      </c>
      <c r="J55" s="57">
        <f>IF(ISNUMBER(MATCH(TRUNC(H55),Праздники,0)),TRUNC(H55)-1+$M$1,TRUNC(H55)+MIN(MOD(H55,1),$M$1))-SUMPRODUCT((TRUNC(F55)&lt;Праздники)*(TRUNC(H55)&gt;Праздники))</f>
        <v>41655.629432870366</v>
      </c>
      <c r="K55" s="41">
        <v>16</v>
      </c>
      <c r="L55" s="36">
        <v>7.6063888799999999</v>
      </c>
      <c r="M55" s="37">
        <v>0</v>
      </c>
      <c r="N55" s="37">
        <v>0</v>
      </c>
      <c r="O55" s="22">
        <f t="shared" si="0"/>
        <v>0</v>
      </c>
      <c r="P55" s="29">
        <f t="shared" si="11"/>
        <v>0.333113425920601</v>
      </c>
      <c r="Q55" s="6">
        <f t="shared" si="3"/>
        <v>16</v>
      </c>
      <c r="R55" s="6">
        <f t="shared" si="4"/>
        <v>7</v>
      </c>
      <c r="S55" s="6">
        <f t="shared" si="5"/>
        <v>6</v>
      </c>
      <c r="T55" s="9">
        <f>IF(O55=1,((NETWORKDAYS(I55,J55,Праздники)-1)*($M$1-$L$1)+MIN(MAX(MOD(J55,1),(WEEKDAY(J55,2)&gt;5)*$M$1,$L$1),$M$1)-MIN(MAX(MOD(I55,1)*(WEEKDAY(I55,2)&lt;6),$L$1),$M$1)),MAX((TRUNC(J55-I55)-(MOD(J55,1)&gt;MOD(I55,1)))*($M$1-$L$1)+($M$1-MOD(I55,1))+(MOD(J55,1)-$L$1),0))</f>
        <v>0.25443287036614493</v>
      </c>
      <c r="U55" s="6"/>
      <c r="V55" s="6"/>
      <c r="W55" s="6"/>
      <c r="X55" s="6"/>
      <c r="Y55" s="6"/>
      <c r="Z55" s="6"/>
      <c r="AA55" s="6"/>
      <c r="AB55" s="6"/>
      <c r="AC55" s="7">
        <f t="shared" si="10"/>
        <v>0.333113425920601</v>
      </c>
      <c r="AD55" s="8">
        <f t="shared" si="8"/>
        <v>0.333113425920601</v>
      </c>
      <c r="AF55" s="13">
        <f t="shared" si="9"/>
        <v>0.25443287036614493</v>
      </c>
    </row>
    <row r="56" spans="1:32" ht="23.25" customHeight="1">
      <c r="A56" s="49" t="s">
        <v>67</v>
      </c>
      <c r="B56" s="50"/>
      <c r="C56" s="50"/>
      <c r="D56" s="51"/>
      <c r="E56" s="4">
        <v>18</v>
      </c>
      <c r="F56" s="12">
        <v>41650.820891203701</v>
      </c>
      <c r="G56" s="12">
        <v>41671.820891203701</v>
      </c>
      <c r="H56" s="12">
        <v>41656.335474537038</v>
      </c>
      <c r="I56" s="58">
        <f>IF(ISNUMBER(MATCH(TRUNC(F56),Праздники,0)),TRUNC(F56)+1+$L$1,TRUNC(F56)+MAX(MOD(F56,1),$L$1))</f>
        <v>41650.820891203701</v>
      </c>
      <c r="J56" s="57">
        <f>IF(ISNUMBER(MATCH(TRUNC(H56),Праздники,0)),TRUNC(H56)-1+$M$1,TRUNC(H56)+MIN(MOD(H56,1),$M$1))-SUMPRODUCT((TRUNC(F56)&lt;Праздники)*(TRUNC(H56)&gt;Праздники))</f>
        <v>41656.335474537038</v>
      </c>
      <c r="K56" s="43">
        <v>504</v>
      </c>
      <c r="L56" s="39">
        <v>132.35</v>
      </c>
      <c r="M56" s="40">
        <v>0</v>
      </c>
      <c r="N56" s="40">
        <v>0</v>
      </c>
      <c r="O56" s="22">
        <f t="shared" si="0"/>
        <v>1</v>
      </c>
      <c r="P56" s="29">
        <f t="shared" si="11"/>
        <v>2</v>
      </c>
      <c r="Q56" s="6">
        <f t="shared" si="3"/>
        <v>11</v>
      </c>
      <c r="R56" s="6">
        <f t="shared" si="4"/>
        <v>19</v>
      </c>
      <c r="S56" s="6">
        <f t="shared" si="5"/>
        <v>42</v>
      </c>
      <c r="T56" s="9">
        <f>IF(O56=1,((NETWORKDAYS(I56,J56,Праздники)-1)*($M$1-$L$1)+MIN(MAX(MOD(J56,1),(WEEKDAY(J56,2)&gt;5)*$M$1,$L$1),$M$1)-MIN(MAX(MOD(I56,1)*(WEEKDAY(I56,2)&lt;6),$L$1),$M$1)),MAX((TRUNC(J56-I56)-(MOD(J56,1)&gt;MOD(I56,1)))*($M$1-$L$1)+($M$1-MOD(I56,1))+(MOD(J56,1)-$L$1),0))</f>
        <v>2</v>
      </c>
      <c r="U56" s="6"/>
      <c r="V56" s="6"/>
      <c r="W56" s="6"/>
      <c r="X56" s="6"/>
      <c r="Y56" s="6"/>
      <c r="Z56" s="6"/>
      <c r="AA56" s="6"/>
      <c r="AB56" s="6"/>
      <c r="AC56" s="7">
        <f t="shared" si="10"/>
        <v>2</v>
      </c>
      <c r="AD56" s="8">
        <f t="shared" si="8"/>
        <v>2.5145833333372138</v>
      </c>
      <c r="AF56" s="13">
        <f t="shared" si="9"/>
        <v>2</v>
      </c>
    </row>
    <row r="57" spans="1:32" ht="23.25" customHeight="1">
      <c r="A57" s="52" t="s">
        <v>68</v>
      </c>
      <c r="B57" s="50"/>
      <c r="C57" s="50"/>
      <c r="D57" s="51"/>
      <c r="E57" s="3">
        <v>18</v>
      </c>
      <c r="F57" s="12">
        <v>41650.805034722223</v>
      </c>
      <c r="G57" s="12">
        <v>41671.805034722223</v>
      </c>
      <c r="H57" s="12">
        <v>41656.345706018517</v>
      </c>
      <c r="I57" s="58">
        <f>IF(ISNUMBER(MATCH(TRUNC(F57),Праздники,0)),TRUNC(F57)+1+$L$1,TRUNC(F57)+MAX(MOD(F57,1),$L$1))</f>
        <v>41650.805034722223</v>
      </c>
      <c r="J57" s="57">
        <f>IF(ISNUMBER(MATCH(TRUNC(H57),Праздники,0)),TRUNC(H57)-1+$M$1,TRUNC(H57)+MIN(MOD(H57,1),$M$1))-SUMPRODUCT((TRUNC(F57)&lt;Праздники)*(TRUNC(H57)&gt;Праздники))</f>
        <v>41656.345706018517</v>
      </c>
      <c r="K57" s="41">
        <v>504</v>
      </c>
      <c r="L57" s="36">
        <v>132.97611111000001</v>
      </c>
      <c r="M57" s="37">
        <v>0</v>
      </c>
      <c r="N57" s="37">
        <v>0</v>
      </c>
      <c r="O57" s="22">
        <f t="shared" si="0"/>
        <v>1</v>
      </c>
      <c r="P57" s="29">
        <f t="shared" si="11"/>
        <v>2</v>
      </c>
      <c r="Q57" s="6">
        <f t="shared" si="3"/>
        <v>11</v>
      </c>
      <c r="R57" s="6">
        <f t="shared" si="4"/>
        <v>19</v>
      </c>
      <c r="S57" s="6">
        <f t="shared" si="5"/>
        <v>19</v>
      </c>
      <c r="T57" s="9">
        <f>IF(O57=1,((NETWORKDAYS(I57,J57,Праздники)-1)*($M$1-$L$1)+MIN(MAX(MOD(J57,1),(WEEKDAY(J57,2)&gt;5)*$M$1,$L$1),$M$1)-MIN(MAX(MOD(I57,1)*(WEEKDAY(I57,2)&lt;6),$L$1),$M$1)),MAX((TRUNC(J57-I57)-(MOD(J57,1)&gt;MOD(I57,1)))*($M$1-$L$1)+($M$1-MOD(I57,1))+(MOD(J57,1)-$L$1),0))</f>
        <v>2</v>
      </c>
      <c r="U57" s="6"/>
      <c r="V57" s="6"/>
      <c r="W57" s="6"/>
      <c r="X57" s="6"/>
      <c r="Y57" s="6"/>
      <c r="Z57" s="6"/>
      <c r="AA57" s="6"/>
      <c r="AB57" s="6"/>
      <c r="AC57" s="7">
        <f t="shared" si="10"/>
        <v>2</v>
      </c>
      <c r="AD57" s="8">
        <f t="shared" si="8"/>
        <v>2.5406712962940219</v>
      </c>
      <c r="AF57" s="13">
        <f t="shared" si="9"/>
        <v>2</v>
      </c>
    </row>
    <row r="58" spans="1:32" ht="23.25" customHeight="1">
      <c r="A58" s="49" t="s">
        <v>135</v>
      </c>
      <c r="B58" s="50"/>
      <c r="C58" s="50"/>
      <c r="D58" s="51"/>
      <c r="E58" s="4">
        <v>18</v>
      </c>
      <c r="F58" s="12">
        <v>41650.821446759255</v>
      </c>
      <c r="G58" s="12">
        <v>41671.821446759255</v>
      </c>
      <c r="H58" s="12">
        <v>41656.350821759261</v>
      </c>
      <c r="I58" s="58">
        <f>IF(ISNUMBER(MATCH(TRUNC(F58),Праздники,0)),TRUNC(F58)+1+$L$1,TRUNC(F58)+MAX(MOD(F58,1),$L$1))</f>
        <v>41650.821446759255</v>
      </c>
      <c r="J58" s="57">
        <f>IF(ISNUMBER(MATCH(TRUNC(H58),Праздники,0)),TRUNC(H58)-1+$M$1,TRUNC(H58)+MIN(MOD(H58,1),$M$1))-SUMPRODUCT((TRUNC(F58)&lt;Праздники)*(TRUNC(H58)&gt;Праздники))</f>
        <v>41656.350821759261</v>
      </c>
      <c r="K58" s="43">
        <v>504</v>
      </c>
      <c r="L58" s="39">
        <v>132.70500000000001</v>
      </c>
      <c r="M58" s="40">
        <v>0</v>
      </c>
      <c r="N58" s="40">
        <v>0</v>
      </c>
      <c r="O58" s="22">
        <f t="shared" si="0"/>
        <v>1</v>
      </c>
      <c r="P58" s="29">
        <f t="shared" si="11"/>
        <v>2</v>
      </c>
      <c r="Q58" s="6">
        <f t="shared" si="3"/>
        <v>11</v>
      </c>
      <c r="R58" s="6">
        <f t="shared" si="4"/>
        <v>19</v>
      </c>
      <c r="S58" s="6">
        <f t="shared" si="5"/>
        <v>42</v>
      </c>
      <c r="T58" s="9">
        <f>IF(O58=1,((NETWORKDAYS(I58,J58,Праздники)-1)*($M$1-$L$1)+MIN(MAX(MOD(J58,1),(WEEKDAY(J58,2)&gt;5)*$M$1,$L$1),$M$1)-MIN(MAX(MOD(I58,1)*(WEEKDAY(I58,2)&lt;6),$L$1),$M$1)),MAX((TRUNC(J58-I58)-(MOD(J58,1)&gt;MOD(I58,1)))*($M$1-$L$1)+($M$1-MOD(I58,1))+(MOD(J58,1)-$L$1),0))</f>
        <v>2</v>
      </c>
      <c r="U58" s="6"/>
      <c r="V58" s="6"/>
      <c r="W58" s="6"/>
      <c r="X58" s="6"/>
      <c r="Y58" s="6"/>
      <c r="Z58" s="6"/>
      <c r="AA58" s="6"/>
      <c r="AB58" s="6"/>
      <c r="AC58" s="7">
        <f t="shared" si="10"/>
        <v>2</v>
      </c>
      <c r="AD58" s="8">
        <f t="shared" si="8"/>
        <v>2.5293750000055297</v>
      </c>
      <c r="AF58" s="13">
        <f t="shared" si="9"/>
        <v>2</v>
      </c>
    </row>
    <row r="59" spans="1:32" ht="23.25" customHeight="1">
      <c r="A59" s="52" t="s">
        <v>69</v>
      </c>
      <c r="B59" s="50"/>
      <c r="C59" s="50"/>
      <c r="D59" s="51"/>
      <c r="E59" s="3">
        <v>18</v>
      </c>
      <c r="F59" s="12">
        <v>41650.83112268518</v>
      </c>
      <c r="G59" s="12">
        <v>41671.83112268518</v>
      </c>
      <c r="H59" s="12">
        <v>41656.48369212963</v>
      </c>
      <c r="I59" s="58">
        <f>IF(ISNUMBER(MATCH(TRUNC(F59),Праздники,0)),TRUNC(F59)+1+$L$1,TRUNC(F59)+MAX(MOD(F59,1),$L$1))</f>
        <v>41650.83112268518</v>
      </c>
      <c r="J59" s="57">
        <f>IF(ISNUMBER(MATCH(TRUNC(H59),Праздники,0)),TRUNC(H59)-1+$M$1,TRUNC(H59)+MIN(MOD(H59,1),$M$1))-SUMPRODUCT((TRUNC(F59)&lt;Праздники)*(TRUNC(H59)&gt;Праздники))</f>
        <v>41656.48369212963</v>
      </c>
      <c r="K59" s="41">
        <v>504</v>
      </c>
      <c r="L59" s="36">
        <v>135.66166666000001</v>
      </c>
      <c r="M59" s="37">
        <v>0</v>
      </c>
      <c r="N59" s="37">
        <v>0</v>
      </c>
      <c r="O59" s="22">
        <f t="shared" si="0"/>
        <v>1</v>
      </c>
      <c r="P59" s="29">
        <f t="shared" si="11"/>
        <v>2.1086921296300716</v>
      </c>
      <c r="Q59" s="6">
        <f t="shared" si="3"/>
        <v>11</v>
      </c>
      <c r="R59" s="6">
        <f t="shared" si="4"/>
        <v>19</v>
      </c>
      <c r="S59" s="6">
        <f t="shared" si="5"/>
        <v>56</v>
      </c>
      <c r="T59" s="9">
        <f>IF(O59=1,((NETWORKDAYS(I59,J59,Праздники)-1)*($M$1-$L$1)+MIN(MAX(MOD(J59,1),(WEEKDAY(J59,2)&gt;5)*$M$1,$L$1),$M$1)-MIN(MAX(MOD(I59,1)*(WEEKDAY(I59,2)&lt;6),$L$1),$M$1)),MAX((TRUNC(J59-I59)-(MOD(J59,1)&gt;MOD(I59,1)))*($M$1-$L$1)+($M$1-MOD(I59,1))+(MOD(J59,1)-$L$1),0))</f>
        <v>2.1086921296300716</v>
      </c>
      <c r="U59" s="6"/>
      <c r="V59" s="6"/>
      <c r="W59" s="6"/>
      <c r="X59" s="6"/>
      <c r="Y59" s="6"/>
      <c r="Z59" s="6"/>
      <c r="AA59" s="6"/>
      <c r="AB59" s="6"/>
      <c r="AC59" s="7">
        <f t="shared" si="10"/>
        <v>2.1086921296300716</v>
      </c>
      <c r="AD59" s="8">
        <f t="shared" si="8"/>
        <v>2.6525694444499095</v>
      </c>
      <c r="AF59" s="13">
        <f t="shared" si="9"/>
        <v>2.1086921296300716</v>
      </c>
    </row>
    <row r="60" spans="1:32" ht="23.25" customHeight="1">
      <c r="A60" s="49" t="s">
        <v>136</v>
      </c>
      <c r="B60" s="50"/>
      <c r="C60" s="50"/>
      <c r="D60" s="51"/>
      <c r="E60" s="4">
        <v>18</v>
      </c>
      <c r="F60" s="12">
        <v>41651.493402777778</v>
      </c>
      <c r="G60" s="12">
        <v>41672.493402777778</v>
      </c>
      <c r="H60" s="12">
        <v>41656.486215277779</v>
      </c>
      <c r="I60" s="58">
        <f>IF(ISNUMBER(MATCH(TRUNC(F60),Праздники,0)),TRUNC(F60)+1+$L$1,TRUNC(F60)+MAX(MOD(F60,1),$L$1))</f>
        <v>41651.493402777778</v>
      </c>
      <c r="J60" s="57">
        <f>IF(ISNUMBER(MATCH(TRUNC(H60),Праздники,0)),TRUNC(H60)-1+$M$1,TRUNC(H60)+MIN(MOD(H60,1),$M$1))-SUMPRODUCT((TRUNC(F60)&lt;Праздники)*(TRUNC(H60)&gt;Праздники))</f>
        <v>41656.486215277779</v>
      </c>
      <c r="K60" s="43">
        <v>504</v>
      </c>
      <c r="L60" s="39">
        <v>119.8275</v>
      </c>
      <c r="M60" s="40">
        <v>0</v>
      </c>
      <c r="N60" s="40">
        <v>0</v>
      </c>
      <c r="O60" s="22">
        <f t="shared" si="0"/>
        <v>1</v>
      </c>
      <c r="P60" s="29">
        <f t="shared" si="11"/>
        <v>2.1112152777786832</v>
      </c>
      <c r="Q60" s="6">
        <f t="shared" si="3"/>
        <v>12</v>
      </c>
      <c r="R60" s="6">
        <f t="shared" si="4"/>
        <v>11</v>
      </c>
      <c r="S60" s="6">
        <f t="shared" si="5"/>
        <v>50</v>
      </c>
      <c r="T60" s="9">
        <f>IF(O60=1,((NETWORKDAYS(I60,J60,Праздники)-1)*($M$1-$L$1)+MIN(MAX(MOD(J60,1),(WEEKDAY(J60,2)&gt;5)*$M$1,$L$1),$M$1)-MIN(MAX(MOD(I60,1)*(WEEKDAY(I60,2)&lt;6),$L$1),$M$1)),MAX((TRUNC(J60-I60)-(MOD(J60,1)&gt;MOD(I60,1)))*($M$1-$L$1)+($M$1-MOD(I60,1))+(MOD(J60,1)-$L$1),0))</f>
        <v>2.1112152777786832</v>
      </c>
      <c r="U60" s="6"/>
      <c r="V60" s="6"/>
      <c r="W60" s="6"/>
      <c r="X60" s="6"/>
      <c r="Y60" s="6"/>
      <c r="Z60" s="6"/>
      <c r="AA60" s="6"/>
      <c r="AB60" s="6"/>
      <c r="AC60" s="7">
        <f t="shared" si="10"/>
        <v>2.1112152777786832</v>
      </c>
      <c r="AD60" s="8">
        <f t="shared" si="8"/>
        <v>2.9928125000005821</v>
      </c>
      <c r="AF60" s="13">
        <f t="shared" si="9"/>
        <v>2.1112152777786832</v>
      </c>
    </row>
    <row r="61" spans="1:32" ht="23.25" customHeight="1">
      <c r="A61" s="52" t="s">
        <v>70</v>
      </c>
      <c r="B61" s="50"/>
      <c r="C61" s="50"/>
      <c r="D61" s="51"/>
      <c r="E61" s="3">
        <v>18</v>
      </c>
      <c r="F61" s="12">
        <v>41651.493831018517</v>
      </c>
      <c r="G61" s="12">
        <v>41672.493831018517</v>
      </c>
      <c r="H61" s="12">
        <v>41656.48642361111</v>
      </c>
      <c r="I61" s="58">
        <f>IF(ISNUMBER(MATCH(TRUNC(F61),Праздники,0)),TRUNC(F61)+1+$L$1,TRUNC(F61)+MAX(MOD(F61,1),$L$1))</f>
        <v>41651.493831018517</v>
      </c>
      <c r="J61" s="57">
        <f>IF(ISNUMBER(MATCH(TRUNC(H61),Праздники,0)),TRUNC(H61)-1+$M$1,TRUNC(H61)+MIN(MOD(H61,1),$M$1))-SUMPRODUCT((TRUNC(F61)&lt;Праздники)*(TRUNC(H61)&gt;Праздники))</f>
        <v>41656.48642361111</v>
      </c>
      <c r="K61" s="41">
        <v>504</v>
      </c>
      <c r="L61" s="36">
        <v>119.82222222</v>
      </c>
      <c r="M61" s="37">
        <v>0</v>
      </c>
      <c r="N61" s="37">
        <v>0</v>
      </c>
      <c r="O61" s="22">
        <f t="shared" si="0"/>
        <v>1</v>
      </c>
      <c r="P61" s="29">
        <f t="shared" si="11"/>
        <v>2.1114236111097853</v>
      </c>
      <c r="Q61" s="6">
        <f t="shared" si="3"/>
        <v>12</v>
      </c>
      <c r="R61" s="6">
        <f t="shared" si="4"/>
        <v>11</v>
      </c>
      <c r="S61" s="6">
        <f t="shared" si="5"/>
        <v>51</v>
      </c>
      <c r="T61" s="9">
        <f>IF(O61=1,((NETWORKDAYS(I61,J61,Праздники)-1)*($M$1-$L$1)+MIN(MAX(MOD(J61,1),(WEEKDAY(J61,2)&gt;5)*$M$1,$L$1),$M$1)-MIN(MAX(MOD(I61,1)*(WEEKDAY(I61,2)&lt;6),$L$1),$M$1)),MAX((TRUNC(J61-I61)-(MOD(J61,1)&gt;MOD(I61,1)))*($M$1-$L$1)+($M$1-MOD(I61,1))+(MOD(J61,1)-$L$1),0))</f>
        <v>2.1114236111097853</v>
      </c>
      <c r="U61" s="6"/>
      <c r="V61" s="6"/>
      <c r="W61" s="6"/>
      <c r="X61" s="6"/>
      <c r="Y61" s="6"/>
      <c r="Z61" s="6"/>
      <c r="AA61" s="6"/>
      <c r="AB61" s="6"/>
      <c r="AC61" s="7">
        <f t="shared" si="10"/>
        <v>2.1114236111097853</v>
      </c>
      <c r="AD61" s="8">
        <f t="shared" si="8"/>
        <v>2.9925925925927004</v>
      </c>
      <c r="AF61" s="13">
        <f t="shared" si="9"/>
        <v>2.1114236111097853</v>
      </c>
    </row>
    <row r="62" spans="1:32" ht="23.25" customHeight="1">
      <c r="A62" s="49" t="s">
        <v>137</v>
      </c>
      <c r="B62" s="50"/>
      <c r="C62" s="50"/>
      <c r="D62" s="51"/>
      <c r="E62" s="4">
        <v>18</v>
      </c>
      <c r="F62" s="12">
        <v>41651.494247685187</v>
      </c>
      <c r="G62" s="12">
        <v>41672.494247685187</v>
      </c>
      <c r="H62" s="12">
        <v>41656.486585648148</v>
      </c>
      <c r="I62" s="58">
        <f>IF(ISNUMBER(MATCH(TRUNC(F62),Праздники,0)),TRUNC(F62)+1+$L$1,TRUNC(F62)+MAX(MOD(F62,1),$L$1))</f>
        <v>41651.494247685187</v>
      </c>
      <c r="J62" s="57">
        <f>IF(ISNUMBER(MATCH(TRUNC(H62),Праздники,0)),TRUNC(H62)-1+$M$1,TRUNC(H62)+MIN(MOD(H62,1),$M$1))-SUMPRODUCT((TRUNC(F62)&lt;Праздники)*(TRUNC(H62)&gt;Праздники))</f>
        <v>41656.486585648148</v>
      </c>
      <c r="K62" s="43">
        <v>504</v>
      </c>
      <c r="L62" s="39">
        <v>119.81611110999999</v>
      </c>
      <c r="M62" s="40">
        <v>0</v>
      </c>
      <c r="N62" s="40">
        <v>0</v>
      </c>
      <c r="O62" s="22">
        <f t="shared" si="0"/>
        <v>1</v>
      </c>
      <c r="P62" s="29">
        <f t="shared" si="11"/>
        <v>2.1115856481483206</v>
      </c>
      <c r="Q62" s="6">
        <f t="shared" si="3"/>
        <v>12</v>
      </c>
      <c r="R62" s="6">
        <f t="shared" si="4"/>
        <v>11</v>
      </c>
      <c r="S62" s="6">
        <f t="shared" si="5"/>
        <v>51</v>
      </c>
      <c r="T62" s="9">
        <f>IF(O62=1,((NETWORKDAYS(I62,J62,Праздники)-1)*($M$1-$L$1)+MIN(MAX(MOD(J62,1),(WEEKDAY(J62,2)&gt;5)*$M$1,$L$1),$M$1)-MIN(MAX(MOD(I62,1)*(WEEKDAY(I62,2)&lt;6),$L$1),$M$1)),MAX((TRUNC(J62-I62)-(MOD(J62,1)&gt;MOD(I62,1)))*($M$1-$L$1)+($M$1-MOD(I62,1))+(MOD(J62,1)-$L$1),0))</f>
        <v>2.1115856481483206</v>
      </c>
      <c r="U62" s="6"/>
      <c r="V62" s="6"/>
      <c r="W62" s="6"/>
      <c r="X62" s="6"/>
      <c r="Y62" s="6"/>
      <c r="Z62" s="6"/>
      <c r="AA62" s="6"/>
      <c r="AB62" s="6"/>
      <c r="AC62" s="7">
        <f t="shared" si="10"/>
        <v>2.1115856481483206</v>
      </c>
      <c r="AD62" s="8">
        <f t="shared" si="8"/>
        <v>2.9923379629617557</v>
      </c>
      <c r="AF62" s="13">
        <f t="shared" si="9"/>
        <v>2.1115856481483206</v>
      </c>
    </row>
    <row r="63" spans="1:32" ht="23.25" customHeight="1">
      <c r="A63" s="52" t="s">
        <v>138</v>
      </c>
      <c r="B63" s="50"/>
      <c r="C63" s="50"/>
      <c r="D63" s="51"/>
      <c r="E63" s="3">
        <v>18</v>
      </c>
      <c r="F63" s="12">
        <v>41651.494629629626</v>
      </c>
      <c r="G63" s="12">
        <v>41672.494629629626</v>
      </c>
      <c r="H63" s="12">
        <v>41656.486747685187</v>
      </c>
      <c r="I63" s="58">
        <f>IF(ISNUMBER(MATCH(TRUNC(F63),Праздники,0)),TRUNC(F63)+1+$L$1,TRUNC(F63)+MAX(MOD(F63,1),$L$1))</f>
        <v>41651.494629629626</v>
      </c>
      <c r="J63" s="57">
        <f>IF(ISNUMBER(MATCH(TRUNC(H63),Праздники,0)),TRUNC(H63)-1+$M$1,TRUNC(H63)+MIN(MOD(H63,1),$M$1))-SUMPRODUCT((TRUNC(F63)&lt;Праздники)*(TRUNC(H63)&gt;Праздники))</f>
        <v>41656.486747685187</v>
      </c>
      <c r="K63" s="41">
        <v>504</v>
      </c>
      <c r="L63" s="36">
        <v>119.81083332999999</v>
      </c>
      <c r="M63" s="37">
        <v>0</v>
      </c>
      <c r="N63" s="37">
        <v>0</v>
      </c>
      <c r="O63" s="22">
        <f t="shared" si="0"/>
        <v>1</v>
      </c>
      <c r="P63" s="29">
        <f t="shared" si="11"/>
        <v>2.111747685186856</v>
      </c>
      <c r="Q63" s="6">
        <f t="shared" si="3"/>
        <v>12</v>
      </c>
      <c r="R63" s="6">
        <f t="shared" si="4"/>
        <v>11</v>
      </c>
      <c r="S63" s="6">
        <f t="shared" si="5"/>
        <v>52</v>
      </c>
      <c r="T63" s="9">
        <f>IF(O63=1,((NETWORKDAYS(I63,J63,Праздники)-1)*($M$1-$L$1)+MIN(MAX(MOD(J63,1),(WEEKDAY(J63,2)&gt;5)*$M$1,$L$1),$M$1)-MIN(MAX(MOD(I63,1)*(WEEKDAY(I63,2)&lt;6),$L$1),$M$1)),MAX((TRUNC(J63-I63)-(MOD(J63,1)&gt;MOD(I63,1)))*($M$1-$L$1)+($M$1-MOD(I63,1))+(MOD(J63,1)-$L$1),0))</f>
        <v>2.111747685186856</v>
      </c>
      <c r="U63" s="6"/>
      <c r="V63" s="6"/>
      <c r="W63" s="6"/>
      <c r="X63" s="6"/>
      <c r="Y63" s="6"/>
      <c r="Z63" s="6"/>
      <c r="AA63" s="6"/>
      <c r="AB63" s="6"/>
      <c r="AC63" s="7">
        <f t="shared" si="10"/>
        <v>2.111747685186856</v>
      </c>
      <c r="AD63" s="8">
        <f t="shared" si="8"/>
        <v>2.99211805556115</v>
      </c>
      <c r="AF63" s="13">
        <f t="shared" si="9"/>
        <v>2.111747685186856</v>
      </c>
    </row>
    <row r="64" spans="1:32" ht="23.25" customHeight="1">
      <c r="A64" s="49" t="s">
        <v>71</v>
      </c>
      <c r="B64" s="50"/>
      <c r="C64" s="50"/>
      <c r="D64" s="51"/>
      <c r="E64" s="4">
        <v>18</v>
      </c>
      <c r="F64" s="12">
        <v>41651.515682870369</v>
      </c>
      <c r="G64" s="12">
        <v>41672.515682870369</v>
      </c>
      <c r="H64" s="12">
        <v>41656.488263888888</v>
      </c>
      <c r="I64" s="58">
        <f>IF(ISNUMBER(MATCH(TRUNC(F64),Праздники,0)),TRUNC(F64)+1+$L$1,TRUNC(F64)+MAX(MOD(F64,1),$L$1))</f>
        <v>41651.515682870369</v>
      </c>
      <c r="J64" s="57">
        <f>IF(ISNUMBER(MATCH(TRUNC(H64),Праздники,0)),TRUNC(H64)-1+$M$1,TRUNC(H64)+MIN(MOD(H64,1),$M$1))-SUMPRODUCT((TRUNC(F64)&lt;Праздники)*(TRUNC(H64)&gt;Праздники))</f>
        <v>41656.488263888888</v>
      </c>
      <c r="K64" s="43">
        <v>504</v>
      </c>
      <c r="L64" s="39">
        <v>119.34194444000001</v>
      </c>
      <c r="M64" s="40">
        <v>0</v>
      </c>
      <c r="N64" s="40">
        <v>0</v>
      </c>
      <c r="O64" s="22">
        <f t="shared" si="0"/>
        <v>1</v>
      </c>
      <c r="P64" s="29">
        <f t="shared" si="11"/>
        <v>2.1132638888884685</v>
      </c>
      <c r="Q64" s="6">
        <f t="shared" si="3"/>
        <v>12</v>
      </c>
      <c r="R64" s="6">
        <f t="shared" si="4"/>
        <v>12</v>
      </c>
      <c r="S64" s="6">
        <f t="shared" si="5"/>
        <v>22</v>
      </c>
      <c r="T64" s="9">
        <f>IF(O64=1,((NETWORKDAYS(I64,J64,Праздники)-1)*($M$1-$L$1)+MIN(MAX(MOD(J64,1),(WEEKDAY(J64,2)&gt;5)*$M$1,$L$1),$M$1)-MIN(MAX(MOD(I64,1)*(WEEKDAY(I64,2)&lt;6),$L$1),$M$1)),MAX((TRUNC(J64-I64)-(MOD(J64,1)&gt;MOD(I64,1)))*($M$1-$L$1)+($M$1-MOD(I64,1))+(MOD(J64,1)-$L$1),0))</f>
        <v>2.1132638888884685</v>
      </c>
      <c r="U64" s="6"/>
      <c r="V64" s="6"/>
      <c r="W64" s="6"/>
      <c r="X64" s="6"/>
      <c r="Y64" s="6"/>
      <c r="Z64" s="6"/>
      <c r="AA64" s="6"/>
      <c r="AB64" s="6"/>
      <c r="AC64" s="7">
        <f t="shared" si="10"/>
        <v>2.1132638888884685</v>
      </c>
      <c r="AD64" s="8">
        <f t="shared" si="8"/>
        <v>2.9725810185191222</v>
      </c>
      <c r="AF64" s="13">
        <f t="shared" si="9"/>
        <v>2.1132638888884685</v>
      </c>
    </row>
    <row r="65" spans="1:32" ht="23.25" customHeight="1">
      <c r="A65" s="52" t="s">
        <v>72</v>
      </c>
      <c r="B65" s="50"/>
      <c r="C65" s="50"/>
      <c r="D65" s="51"/>
      <c r="E65" s="3">
        <v>18</v>
      </c>
      <c r="F65" s="12">
        <v>41651.516504629632</v>
      </c>
      <c r="G65" s="12">
        <v>41672.516504629632</v>
      </c>
      <c r="H65" s="12">
        <v>41656.488553240742</v>
      </c>
      <c r="I65" s="58">
        <f>IF(ISNUMBER(MATCH(TRUNC(F65),Праздники,0)),TRUNC(F65)+1+$L$1,TRUNC(F65)+MAX(MOD(F65,1),$L$1))</f>
        <v>41651.516504629632</v>
      </c>
      <c r="J65" s="57">
        <f>IF(ISNUMBER(MATCH(TRUNC(H65),Праздники,0)),TRUNC(H65)-1+$M$1,TRUNC(H65)+MIN(MOD(H65,1),$M$1))-SUMPRODUCT((TRUNC(F65)&lt;Праздники)*(TRUNC(H65)&gt;Праздники))</f>
        <v>41656.488553240742</v>
      </c>
      <c r="K65" s="41">
        <v>504</v>
      </c>
      <c r="L65" s="36">
        <v>119.32916666</v>
      </c>
      <c r="M65" s="37">
        <v>0</v>
      </c>
      <c r="N65" s="37">
        <v>0</v>
      </c>
      <c r="O65" s="22">
        <f t="shared" si="0"/>
        <v>1</v>
      </c>
      <c r="P65" s="29">
        <f t="shared" si="11"/>
        <v>2.1135532407424762</v>
      </c>
      <c r="Q65" s="6">
        <f t="shared" si="3"/>
        <v>12</v>
      </c>
      <c r="R65" s="6">
        <f t="shared" si="4"/>
        <v>12</v>
      </c>
      <c r="S65" s="6">
        <f t="shared" si="5"/>
        <v>23</v>
      </c>
      <c r="T65" s="9">
        <f>IF(O65=1,((NETWORKDAYS(I65,J65,Праздники)-1)*($M$1-$L$1)+MIN(MAX(MOD(J65,1),(WEEKDAY(J65,2)&gt;5)*$M$1,$L$1),$M$1)-MIN(MAX(MOD(I65,1)*(WEEKDAY(I65,2)&lt;6),$L$1),$M$1)),MAX((TRUNC(J65-I65)-(MOD(J65,1)&gt;MOD(I65,1)))*($M$1-$L$1)+($M$1-MOD(I65,1))+(MOD(J65,1)-$L$1),0))</f>
        <v>2.1135532407424762</v>
      </c>
      <c r="U65" s="6"/>
      <c r="V65" s="6"/>
      <c r="W65" s="6"/>
      <c r="X65" s="6"/>
      <c r="Y65" s="6"/>
      <c r="Z65" s="6"/>
      <c r="AA65" s="6"/>
      <c r="AB65" s="6"/>
      <c r="AC65" s="7">
        <f t="shared" si="10"/>
        <v>2.1135532407424762</v>
      </c>
      <c r="AD65" s="8">
        <f t="shared" si="8"/>
        <v>2.9720486111109494</v>
      </c>
      <c r="AF65" s="13">
        <f t="shared" si="9"/>
        <v>2.1135532407424762</v>
      </c>
    </row>
    <row r="66" spans="1:32" ht="23.25" customHeight="1">
      <c r="A66" s="49" t="s">
        <v>73</v>
      </c>
      <c r="B66" s="50"/>
      <c r="C66" s="50"/>
      <c r="D66" s="51"/>
      <c r="E66" s="4">
        <v>18</v>
      </c>
      <c r="F66" s="12">
        <v>41651.516886574071</v>
      </c>
      <c r="G66" s="12">
        <v>41672.516886574071</v>
      </c>
      <c r="H66" s="12">
        <v>41656.488749999997</v>
      </c>
      <c r="I66" s="58">
        <f>IF(ISNUMBER(MATCH(TRUNC(F66),Праздники,0)),TRUNC(F66)+1+$L$1,TRUNC(F66)+MAX(MOD(F66,1),$L$1))</f>
        <v>41651.516886574071</v>
      </c>
      <c r="J66" s="57">
        <f>IF(ISNUMBER(MATCH(TRUNC(H66),Праздники,0)),TRUNC(H66)-1+$M$1,TRUNC(H66)+MIN(MOD(H66,1),$M$1))-SUMPRODUCT((TRUNC(F66)&lt;Праздники)*(TRUNC(H66)&gt;Праздники))</f>
        <v>41656.488749999997</v>
      </c>
      <c r="K66" s="43">
        <v>504</v>
      </c>
      <c r="L66" s="39">
        <v>119.32472222</v>
      </c>
      <c r="M66" s="40">
        <v>0</v>
      </c>
      <c r="N66" s="40">
        <v>0</v>
      </c>
      <c r="O66" s="22">
        <f t="shared" si="0"/>
        <v>1</v>
      </c>
      <c r="P66" s="29">
        <f t="shared" si="11"/>
        <v>2.1137499999967986</v>
      </c>
      <c r="Q66" s="6">
        <f t="shared" si="3"/>
        <v>12</v>
      </c>
      <c r="R66" s="6">
        <f t="shared" si="4"/>
        <v>12</v>
      </c>
      <c r="S66" s="6">
        <f t="shared" si="5"/>
        <v>24</v>
      </c>
      <c r="T66" s="9">
        <f>IF(O66=1,((NETWORKDAYS(I66,J66,Праздники)-1)*($M$1-$L$1)+MIN(MAX(MOD(J66,1),(WEEKDAY(J66,2)&gt;5)*$M$1,$L$1),$M$1)-MIN(MAX(MOD(I66,1)*(WEEKDAY(I66,2)&lt;6),$L$1),$M$1)),MAX((TRUNC(J66-I66)-(MOD(J66,1)&gt;MOD(I66,1)))*($M$1-$L$1)+($M$1-MOD(I66,1))+(MOD(J66,1)-$L$1),0))</f>
        <v>2.1137499999967986</v>
      </c>
      <c r="U66" s="6"/>
      <c r="V66" s="6"/>
      <c r="W66" s="6"/>
      <c r="X66" s="6"/>
      <c r="Y66" s="6"/>
      <c r="Z66" s="6"/>
      <c r="AA66" s="6"/>
      <c r="AB66" s="6"/>
      <c r="AC66" s="7">
        <f t="shared" si="10"/>
        <v>2.1137499999967986</v>
      </c>
      <c r="AD66" s="8">
        <f t="shared" si="8"/>
        <v>2.9718634259261307</v>
      </c>
      <c r="AF66" s="13">
        <f t="shared" si="9"/>
        <v>2.1137499999967986</v>
      </c>
    </row>
    <row r="67" spans="1:32" ht="23.25" customHeight="1">
      <c r="A67" s="52" t="s">
        <v>139</v>
      </c>
      <c r="B67" s="50"/>
      <c r="C67" s="50"/>
      <c r="D67" s="51"/>
      <c r="E67" s="3">
        <v>18</v>
      </c>
      <c r="F67" s="12">
        <v>41651.517291666663</v>
      </c>
      <c r="G67" s="12">
        <v>41672.517291666663</v>
      </c>
      <c r="H67" s="12">
        <v>41656.488935185182</v>
      </c>
      <c r="I67" s="58">
        <f>IF(ISNUMBER(MATCH(TRUNC(F67),Праздники,0)),TRUNC(F67)+1+$L$1,TRUNC(F67)+MAX(MOD(F67,1),$L$1))</f>
        <v>41651.517291666663</v>
      </c>
      <c r="J67" s="57">
        <f>IF(ISNUMBER(MATCH(TRUNC(H67),Праздники,0)),TRUNC(H67)-1+$M$1,TRUNC(H67)+MIN(MOD(H67,1),$M$1))-SUMPRODUCT((TRUNC(F67)&lt;Праздники)*(TRUNC(H67)&gt;Праздники))</f>
        <v>41656.488935185182</v>
      </c>
      <c r="K67" s="41">
        <v>504</v>
      </c>
      <c r="L67" s="36">
        <v>119.31944444</v>
      </c>
      <c r="M67" s="37">
        <v>0</v>
      </c>
      <c r="N67" s="37">
        <v>0</v>
      </c>
      <c r="O67" s="22">
        <f t="shared" si="0"/>
        <v>1</v>
      </c>
      <c r="P67" s="29">
        <f t="shared" si="11"/>
        <v>2.1139351851816173</v>
      </c>
      <c r="Q67" s="6">
        <f t="shared" si="3"/>
        <v>12</v>
      </c>
      <c r="R67" s="6">
        <f t="shared" si="4"/>
        <v>12</v>
      </c>
      <c r="S67" s="6">
        <f t="shared" si="5"/>
        <v>24</v>
      </c>
      <c r="T67" s="9">
        <f>IF(O67=1,((NETWORKDAYS(I67,J67,Праздники)-1)*($M$1-$L$1)+MIN(MAX(MOD(J67,1),(WEEKDAY(J67,2)&gt;5)*$M$1,$L$1),$M$1)-MIN(MAX(MOD(I67,1)*(WEEKDAY(I67,2)&lt;6),$L$1),$M$1)),MAX((TRUNC(J67-I67)-(MOD(J67,1)&gt;MOD(I67,1)))*($M$1-$L$1)+($M$1-MOD(I67,1))+(MOD(J67,1)-$L$1),0))</f>
        <v>2.1139351851816173</v>
      </c>
      <c r="U67" s="6"/>
      <c r="V67" s="6"/>
      <c r="W67" s="6"/>
      <c r="X67" s="6"/>
      <c r="Y67" s="6"/>
      <c r="Z67" s="6"/>
      <c r="AA67" s="6"/>
      <c r="AB67" s="6"/>
      <c r="AC67" s="7">
        <f t="shared" si="10"/>
        <v>2.1139351851816173</v>
      </c>
      <c r="AD67" s="8">
        <f t="shared" ref="AD67:AD98" si="12">(H67-F67)-INT(H67-F67)+(NETWORKDAYS(F67,H67)-(NETWORKDAYS(F67,H67)&lt;&gt;0))*($M$1-$L$1)</f>
        <v>2.971643518518249</v>
      </c>
      <c r="AF67" s="13">
        <f t="shared" ref="AF67:AF98" si="13">(NETWORKDAYS(F67,H67)-1)*($M$1-$L$1)+MIN(MAX(MOD(H67,1),(WEEKDAY(H67,2)&gt;5)*$M$1,$L$1),$M$1)-MIN(MAX(MOD(F67,1)*(WEEKDAY(F67,2)&lt;6),$L$1),$M$1)</f>
        <v>2.1139351851816173</v>
      </c>
    </row>
    <row r="68" spans="1:32" ht="23.25" customHeight="1">
      <c r="A68" s="49" t="s">
        <v>140</v>
      </c>
      <c r="B68" s="50"/>
      <c r="C68" s="50"/>
      <c r="D68" s="51"/>
      <c r="E68" s="4">
        <v>18</v>
      </c>
      <c r="F68" s="12">
        <v>41651.51798611111</v>
      </c>
      <c r="G68" s="12">
        <v>41672.51798611111</v>
      </c>
      <c r="H68" s="12">
        <v>41656.489247685182</v>
      </c>
      <c r="I68" s="58">
        <f>IF(ISNUMBER(MATCH(TRUNC(F68),Праздники,0)),TRUNC(F68)+1+$L$1,TRUNC(F68)+MAX(MOD(F68,1),$L$1))</f>
        <v>41651.51798611111</v>
      </c>
      <c r="J68" s="57">
        <f>IF(ISNUMBER(MATCH(TRUNC(H68),Праздники,0)),TRUNC(H68)-1+$M$1,TRUNC(H68)+MIN(MOD(H68,1),$M$1))-SUMPRODUCT((TRUNC(F68)&lt;Праздники)*(TRUNC(H68)&gt;Праздники))</f>
        <v>41656.489247685182</v>
      </c>
      <c r="K68" s="43">
        <v>504</v>
      </c>
      <c r="L68" s="39">
        <v>119.31027777</v>
      </c>
      <c r="M68" s="40">
        <v>0</v>
      </c>
      <c r="N68" s="40">
        <v>0</v>
      </c>
      <c r="O68" s="22">
        <f t="shared" ref="O68:O131" si="14">IF(MID(A68,1,2)="ТО",1,)</f>
        <v>1</v>
      </c>
      <c r="P68" s="29">
        <f t="shared" si="11"/>
        <v>2.1142476851819083</v>
      </c>
      <c r="Q68" s="6">
        <f t="shared" si="3"/>
        <v>12</v>
      </c>
      <c r="R68" s="6">
        <f t="shared" si="4"/>
        <v>12</v>
      </c>
      <c r="S68" s="6">
        <f t="shared" si="5"/>
        <v>25</v>
      </c>
      <c r="T68" s="9">
        <f>IF(O68=1,((NETWORKDAYS(I68,J68,Праздники)-1)*($M$1-$L$1)+MIN(MAX(MOD(J68,1),(WEEKDAY(J68,2)&gt;5)*$M$1,$L$1),$M$1)-MIN(MAX(MOD(I68,1)*(WEEKDAY(I68,2)&lt;6),$L$1),$M$1)),MAX((TRUNC(J68-I68)-(MOD(J68,1)&gt;MOD(I68,1)))*($M$1-$L$1)+($M$1-MOD(I68,1))+(MOD(J68,1)-$L$1),0))</f>
        <v>2.1142476851819083</v>
      </c>
      <c r="U68" s="6"/>
      <c r="V68" s="6"/>
      <c r="W68" s="6"/>
      <c r="X68" s="6"/>
      <c r="Y68" s="6"/>
      <c r="Z68" s="6"/>
      <c r="AA68" s="6"/>
      <c r="AB68" s="6"/>
      <c r="AC68" s="7">
        <f t="shared" si="10"/>
        <v>2.1142476851819083</v>
      </c>
      <c r="AD68" s="8">
        <f t="shared" si="12"/>
        <v>2.971261574071832</v>
      </c>
      <c r="AF68" s="13">
        <f t="shared" si="13"/>
        <v>2.1142476851819083</v>
      </c>
    </row>
    <row r="69" spans="1:32" ht="23.25" customHeight="1">
      <c r="A69" s="52" t="s">
        <v>141</v>
      </c>
      <c r="B69" s="50"/>
      <c r="C69" s="50"/>
      <c r="D69" s="51"/>
      <c r="E69" s="3">
        <v>18</v>
      </c>
      <c r="F69" s="12">
        <v>41651.518379629626</v>
      </c>
      <c r="G69" s="12">
        <v>41672.518379629626</v>
      </c>
      <c r="H69" s="12">
        <v>41656.489444444444</v>
      </c>
      <c r="I69" s="58">
        <f>IF(ISNUMBER(MATCH(TRUNC(F69),Праздники,0)),TRUNC(F69)+1+$L$1,TRUNC(F69)+MAX(MOD(F69,1),$L$1))</f>
        <v>41651.518379629626</v>
      </c>
      <c r="J69" s="57">
        <f>IF(ISNUMBER(MATCH(TRUNC(H69),Праздники,0)),TRUNC(H69)-1+$M$1,TRUNC(H69)+MIN(MOD(H69,1),$M$1))-SUMPRODUCT((TRUNC(F69)&lt;Праздники)*(TRUNC(H69)&gt;Праздники))</f>
        <v>41656.489444444444</v>
      </c>
      <c r="K69" s="41">
        <v>504</v>
      </c>
      <c r="L69" s="36">
        <v>119.30555554999999</v>
      </c>
      <c r="M69" s="37">
        <v>0</v>
      </c>
      <c r="N69" s="37">
        <v>0</v>
      </c>
      <c r="O69" s="22">
        <f t="shared" si="14"/>
        <v>1</v>
      </c>
      <c r="P69" s="29">
        <f t="shared" si="11"/>
        <v>2.1144444444435067</v>
      </c>
      <c r="Q69" s="6">
        <f t="shared" ref="Q69:Q132" si="15">DAY(F69)</f>
        <v>12</v>
      </c>
      <c r="R69" s="6">
        <f t="shared" ref="R69:R132" si="16">HOUR(F69)</f>
        <v>12</v>
      </c>
      <c r="S69" s="6">
        <f t="shared" ref="S69:S132" si="17">MINUTE(F69)</f>
        <v>26</v>
      </c>
      <c r="T69" s="9">
        <f>IF(O69=1,((NETWORKDAYS(I69,J69,Праздники)-1)*($M$1-$L$1)+MIN(MAX(MOD(J69,1),(WEEKDAY(J69,2)&gt;5)*$M$1,$L$1),$M$1)-MIN(MAX(MOD(I69,1)*(WEEKDAY(I69,2)&lt;6),$L$1),$M$1)),MAX((TRUNC(J69-I69)-(MOD(J69,1)&gt;MOD(I69,1)))*($M$1-$L$1)+($M$1-MOD(I69,1))+(MOD(J69,1)-$L$1),0))</f>
        <v>2.1144444444435067</v>
      </c>
      <c r="U69" s="6"/>
      <c r="V69" s="6"/>
      <c r="W69" s="6"/>
      <c r="X69" s="6"/>
      <c r="Y69" s="6"/>
      <c r="Z69" s="6"/>
      <c r="AA69" s="6"/>
      <c r="AB69" s="6"/>
      <c r="AC69" s="7">
        <f t="shared" si="10"/>
        <v>2.1144444444435067</v>
      </c>
      <c r="AD69" s="8">
        <f t="shared" si="12"/>
        <v>2.9710648148175096</v>
      </c>
      <c r="AF69" s="13">
        <f t="shared" si="13"/>
        <v>2.1144444444435067</v>
      </c>
    </row>
    <row r="70" spans="1:32" ht="23.25" customHeight="1">
      <c r="A70" s="49" t="s">
        <v>142</v>
      </c>
      <c r="B70" s="50"/>
      <c r="C70" s="50"/>
      <c r="D70" s="51"/>
      <c r="E70" s="4">
        <v>18</v>
      </c>
      <c r="F70" s="12">
        <v>41651.520752314813</v>
      </c>
      <c r="G70" s="12">
        <v>41672.520752314813</v>
      </c>
      <c r="H70" s="12">
        <v>41656.489618055552</v>
      </c>
      <c r="I70" s="58">
        <f>IF(ISNUMBER(MATCH(TRUNC(F70),Праздники,0)),TRUNC(F70)+1+$L$1,TRUNC(F70)+MAX(MOD(F70,1),$L$1))</f>
        <v>41651.520752314813</v>
      </c>
      <c r="J70" s="57">
        <f>IF(ISNUMBER(MATCH(TRUNC(H70),Праздники,0)),TRUNC(H70)-1+$M$1,TRUNC(H70)+MIN(MOD(H70,1),$M$1))-SUMPRODUCT((TRUNC(F70)&lt;Праздники)*(TRUNC(H70)&gt;Праздники))</f>
        <v>41656.489618055552</v>
      </c>
      <c r="K70" s="43">
        <v>504</v>
      </c>
      <c r="L70" s="39">
        <v>119.25277776999999</v>
      </c>
      <c r="M70" s="40">
        <v>0</v>
      </c>
      <c r="N70" s="40">
        <v>0</v>
      </c>
      <c r="O70" s="22">
        <f t="shared" si="14"/>
        <v>1</v>
      </c>
      <c r="P70" s="29">
        <f t="shared" ref="P70:P133" si="18">IF(O70=1,((NETWORKDAYS(F70,H70)-1)*($M$1-$L$1)+MIN(MAX(MOD(H70,1),(WEEKDAY(H70,2)&gt;5)*$M$1,$L$1),$M$1)-MIN(MAX(MOD(F70,1)*(WEEKDAY(F70,2)&lt;6),$L$1),$M$1)),(H70-F70)-INT(H70-F70)+(DATEDIF(F70,H70,"d"))*($M$1-$L$1))</f>
        <v>2.1146180555515457</v>
      </c>
      <c r="Q70" s="6">
        <f t="shared" si="15"/>
        <v>12</v>
      </c>
      <c r="R70" s="6">
        <f t="shared" si="16"/>
        <v>12</v>
      </c>
      <c r="S70" s="6">
        <f t="shared" si="17"/>
        <v>29</v>
      </c>
      <c r="T70" s="9">
        <f>IF(O70=1,((NETWORKDAYS(I70,J70,Праздники)-1)*($M$1-$L$1)+MIN(MAX(MOD(J70,1),(WEEKDAY(J70,2)&gt;5)*$M$1,$L$1),$M$1)-MIN(MAX(MOD(I70,1)*(WEEKDAY(I70,2)&lt;6),$L$1),$M$1)),MAX((TRUNC(J70-I70)-(MOD(J70,1)&gt;MOD(I70,1)))*($M$1-$L$1)+($M$1-MOD(I70,1))+(MOD(J70,1)-$L$1),0))</f>
        <v>2.1146180555515457</v>
      </c>
      <c r="U70" s="6"/>
      <c r="V70" s="6"/>
      <c r="W70" s="6"/>
      <c r="X70" s="6"/>
      <c r="Y70" s="6"/>
      <c r="Z70" s="6"/>
      <c r="AA70" s="6"/>
      <c r="AB70" s="6"/>
      <c r="AC70" s="7">
        <f t="shared" ref="AC70:AC101" si="19">IF(A70&gt;="ТО",((NETWORKDAYS(F70,H70)-1)*($M$1-$L$1)+MIN(MAX(MOD(H70,1),(WEEKDAY(H70,2)&gt;5)*$M$1,$L$1),$M$1)-MIN(MAX(MOD(F70,1)*(WEEKDAY(F70,2)&lt;6),$L$1),$M$1)),(H70-F70)-INT(H70-F70)+(DATEDIF(F70,H70,"d"))*($M$1-$L$1))</f>
        <v>2.1146180555515457</v>
      </c>
      <c r="AD70" s="8">
        <f t="shared" si="12"/>
        <v>2.9688657407386927</v>
      </c>
      <c r="AF70" s="13">
        <f t="shared" si="13"/>
        <v>2.1146180555515457</v>
      </c>
    </row>
    <row r="71" spans="1:32" ht="23.25" customHeight="1">
      <c r="A71" s="52" t="s">
        <v>143</v>
      </c>
      <c r="B71" s="50"/>
      <c r="C71" s="50"/>
      <c r="D71" s="51"/>
      <c r="E71" s="3">
        <v>18</v>
      </c>
      <c r="F71" s="12">
        <v>41651.521643518514</v>
      </c>
      <c r="G71" s="12">
        <v>41672.521643518514</v>
      </c>
      <c r="H71" s="12">
        <v>41656.489803240736</v>
      </c>
      <c r="I71" s="58">
        <f>IF(ISNUMBER(MATCH(TRUNC(F71),Праздники,0)),TRUNC(F71)+1+$L$1,TRUNC(F71)+MAX(MOD(F71,1),$L$1))</f>
        <v>41651.521643518514</v>
      </c>
      <c r="J71" s="57">
        <f>IF(ISNUMBER(MATCH(TRUNC(H71),Праздники,0)),TRUNC(H71)-1+$M$1,TRUNC(H71)+MIN(MOD(H71,1),$M$1))-SUMPRODUCT((TRUNC(F71)&lt;Праздники)*(TRUNC(H71)&gt;Праздники))</f>
        <v>41656.489803240736</v>
      </c>
      <c r="K71" s="41">
        <v>504</v>
      </c>
      <c r="L71" s="36">
        <v>119.23583333000001</v>
      </c>
      <c r="M71" s="37">
        <v>0</v>
      </c>
      <c r="N71" s="37">
        <v>0</v>
      </c>
      <c r="O71" s="22">
        <f t="shared" si="14"/>
        <v>1</v>
      </c>
      <c r="P71" s="29">
        <f t="shared" si="18"/>
        <v>2.1148032407363644</v>
      </c>
      <c r="Q71" s="6">
        <f t="shared" si="15"/>
        <v>12</v>
      </c>
      <c r="R71" s="6">
        <f t="shared" si="16"/>
        <v>12</v>
      </c>
      <c r="S71" s="6">
        <f t="shared" si="17"/>
        <v>31</v>
      </c>
      <c r="T71" s="9">
        <f>IF(O71=1,((NETWORKDAYS(I71,J71,Праздники)-1)*($M$1-$L$1)+MIN(MAX(MOD(J71,1),(WEEKDAY(J71,2)&gt;5)*$M$1,$L$1),$M$1)-MIN(MAX(MOD(I71,1)*(WEEKDAY(I71,2)&lt;6),$L$1),$M$1)),MAX((TRUNC(J71-I71)-(MOD(J71,1)&gt;MOD(I71,1)))*($M$1-$L$1)+($M$1-MOD(I71,1))+(MOD(J71,1)-$L$1),0))</f>
        <v>2.1148032407363644</v>
      </c>
      <c r="U71" s="6"/>
      <c r="V71" s="6"/>
      <c r="W71" s="6"/>
      <c r="X71" s="6"/>
      <c r="Y71" s="6"/>
      <c r="Z71" s="6"/>
      <c r="AA71" s="6"/>
      <c r="AB71" s="6"/>
      <c r="AC71" s="7">
        <f t="shared" si="19"/>
        <v>2.1148032407363644</v>
      </c>
      <c r="AD71" s="8">
        <f t="shared" si="12"/>
        <v>2.9681597222224809</v>
      </c>
      <c r="AF71" s="13">
        <f t="shared" si="13"/>
        <v>2.1148032407363644</v>
      </c>
    </row>
    <row r="72" spans="1:32" ht="23.25" customHeight="1">
      <c r="A72" s="49" t="s">
        <v>74</v>
      </c>
      <c r="B72" s="50"/>
      <c r="C72" s="50"/>
      <c r="D72" s="51"/>
      <c r="E72" s="4">
        <v>18</v>
      </c>
      <c r="F72" s="12">
        <v>41651.522106481483</v>
      </c>
      <c r="G72" s="12">
        <v>41672.522106481483</v>
      </c>
      <c r="H72" s="12">
        <v>41656.490011574075</v>
      </c>
      <c r="I72" s="58">
        <f>IF(ISNUMBER(MATCH(TRUNC(F72),Праздники,0)),TRUNC(F72)+1+$L$1,TRUNC(F72)+MAX(MOD(F72,1),$L$1))</f>
        <v>41651.522106481483</v>
      </c>
      <c r="J72" s="57">
        <f>IF(ISNUMBER(MATCH(TRUNC(H72),Праздники,0)),TRUNC(H72)-1+$M$1,TRUNC(H72)+MIN(MOD(H72,1),$M$1))-SUMPRODUCT((TRUNC(F72)&lt;Праздники)*(TRUNC(H72)&gt;Праздники))</f>
        <v>41656.490011574075</v>
      </c>
      <c r="K72" s="43">
        <v>504</v>
      </c>
      <c r="L72" s="39">
        <v>119.22972222</v>
      </c>
      <c r="M72" s="40">
        <v>0</v>
      </c>
      <c r="N72" s="40">
        <v>0</v>
      </c>
      <c r="O72" s="22">
        <f t="shared" si="14"/>
        <v>1</v>
      </c>
      <c r="P72" s="29">
        <f t="shared" si="18"/>
        <v>2.1150115740747424</v>
      </c>
      <c r="Q72" s="6">
        <f t="shared" si="15"/>
        <v>12</v>
      </c>
      <c r="R72" s="6">
        <f t="shared" si="16"/>
        <v>12</v>
      </c>
      <c r="S72" s="6">
        <f t="shared" si="17"/>
        <v>31</v>
      </c>
      <c r="T72" s="9">
        <f>IF(O72=1,((NETWORKDAYS(I72,J72,Праздники)-1)*($M$1-$L$1)+MIN(MAX(MOD(J72,1),(WEEKDAY(J72,2)&gt;5)*$M$1,$L$1),$M$1)-MIN(MAX(MOD(I72,1)*(WEEKDAY(I72,2)&lt;6),$L$1),$M$1)),MAX((TRUNC(J72-I72)-(MOD(J72,1)&gt;MOD(I72,1)))*($M$1-$L$1)+($M$1-MOD(I72,1))+(MOD(J72,1)-$L$1),0))</f>
        <v>2.1150115740747424</v>
      </c>
      <c r="U72" s="6"/>
      <c r="V72" s="6"/>
      <c r="W72" s="6"/>
      <c r="X72" s="6"/>
      <c r="Y72" s="6"/>
      <c r="Z72" s="6"/>
      <c r="AA72" s="6"/>
      <c r="AB72" s="6"/>
      <c r="AC72" s="7">
        <f t="shared" si="19"/>
        <v>2.1150115740747424</v>
      </c>
      <c r="AD72" s="8">
        <f t="shared" si="12"/>
        <v>2.9679050925915362</v>
      </c>
      <c r="AF72" s="13">
        <f t="shared" si="13"/>
        <v>2.1150115740747424</v>
      </c>
    </row>
    <row r="73" spans="1:32" ht="23.25" customHeight="1">
      <c r="A73" s="52" t="s">
        <v>144</v>
      </c>
      <c r="B73" s="50"/>
      <c r="C73" s="50"/>
      <c r="D73" s="51"/>
      <c r="E73" s="3">
        <v>18</v>
      </c>
      <c r="F73" s="12">
        <v>41651.524560185186</v>
      </c>
      <c r="G73" s="12">
        <v>41672.524560185186</v>
      </c>
      <c r="H73" s="12">
        <v>41656.494351851848</v>
      </c>
      <c r="I73" s="58">
        <f>IF(ISNUMBER(MATCH(TRUNC(F73),Праздники,0)),TRUNC(F73)+1+$L$1,TRUNC(F73)+MAX(MOD(F73,1),$L$1))</f>
        <v>41651.524560185186</v>
      </c>
      <c r="J73" s="57">
        <f>IF(ISNUMBER(MATCH(TRUNC(H73),Праздники,0)),TRUNC(H73)-1+$M$1,TRUNC(H73)+MIN(MOD(H73,1),$M$1))-SUMPRODUCT((TRUNC(F73)&lt;Праздники)*(TRUNC(H73)&gt;Праздники))</f>
        <v>41656.494351851848</v>
      </c>
      <c r="K73" s="41">
        <v>504</v>
      </c>
      <c r="L73" s="36">
        <v>119.27500000000001</v>
      </c>
      <c r="M73" s="37">
        <v>0</v>
      </c>
      <c r="N73" s="37">
        <v>0</v>
      </c>
      <c r="O73" s="22">
        <f t="shared" si="14"/>
        <v>1</v>
      </c>
      <c r="P73" s="29">
        <f t="shared" si="18"/>
        <v>2.119351851848478</v>
      </c>
      <c r="Q73" s="6">
        <f t="shared" si="15"/>
        <v>12</v>
      </c>
      <c r="R73" s="6">
        <f t="shared" si="16"/>
        <v>12</v>
      </c>
      <c r="S73" s="6">
        <f t="shared" si="17"/>
        <v>35</v>
      </c>
      <c r="T73" s="9">
        <f>IF(O73=1,((NETWORKDAYS(I73,J73,Праздники)-1)*($M$1-$L$1)+MIN(MAX(MOD(J73,1),(WEEKDAY(J73,2)&gt;5)*$M$1,$L$1),$M$1)-MIN(MAX(MOD(I73,1)*(WEEKDAY(I73,2)&lt;6),$L$1),$M$1)),MAX((TRUNC(J73-I73)-(MOD(J73,1)&gt;MOD(I73,1)))*($M$1-$L$1)+($M$1-MOD(I73,1))+(MOD(J73,1)-$L$1),0))</f>
        <v>2.119351851848478</v>
      </c>
      <c r="U73" s="6"/>
      <c r="V73" s="6"/>
      <c r="W73" s="6"/>
      <c r="X73" s="6"/>
      <c r="Y73" s="6"/>
      <c r="Z73" s="6"/>
      <c r="AA73" s="6"/>
      <c r="AB73" s="6"/>
      <c r="AC73" s="7">
        <f t="shared" si="19"/>
        <v>2.119351851848478</v>
      </c>
      <c r="AD73" s="8">
        <f t="shared" si="12"/>
        <v>2.9697916666627862</v>
      </c>
      <c r="AF73" s="13">
        <f t="shared" si="13"/>
        <v>2.119351851848478</v>
      </c>
    </row>
    <row r="74" spans="1:32" ht="23.25" customHeight="1">
      <c r="A74" s="49" t="s">
        <v>145</v>
      </c>
      <c r="B74" s="50"/>
      <c r="C74" s="50"/>
      <c r="D74" s="51"/>
      <c r="E74" s="4">
        <v>18</v>
      </c>
      <c r="F74" s="12">
        <v>41651.525381944441</v>
      </c>
      <c r="G74" s="12">
        <v>41672.525381944441</v>
      </c>
      <c r="H74" s="12">
        <v>41656.494513888887</v>
      </c>
      <c r="I74" s="58">
        <f>IF(ISNUMBER(MATCH(TRUNC(F74),Праздники,0)),TRUNC(F74)+1+$L$1,TRUNC(F74)+MAX(MOD(F74,1),$L$1))</f>
        <v>41651.525381944441</v>
      </c>
      <c r="J74" s="57">
        <f>IF(ISNUMBER(MATCH(TRUNC(H74),Праздники,0)),TRUNC(H74)-1+$M$1,TRUNC(H74)+MIN(MOD(H74,1),$M$1))-SUMPRODUCT((TRUNC(F74)&lt;Праздники)*(TRUNC(H74)&gt;Праздники))</f>
        <v>41656.494513888887</v>
      </c>
      <c r="K74" s="43">
        <v>504</v>
      </c>
      <c r="L74" s="39">
        <v>119.25916666000001</v>
      </c>
      <c r="M74" s="40">
        <v>0</v>
      </c>
      <c r="N74" s="40">
        <v>0</v>
      </c>
      <c r="O74" s="22">
        <f t="shared" si="14"/>
        <v>1</v>
      </c>
      <c r="P74" s="29">
        <f t="shared" si="18"/>
        <v>2.1195138888870133</v>
      </c>
      <c r="Q74" s="6">
        <f t="shared" si="15"/>
        <v>12</v>
      </c>
      <c r="R74" s="6">
        <f t="shared" si="16"/>
        <v>12</v>
      </c>
      <c r="S74" s="6">
        <f t="shared" si="17"/>
        <v>36</v>
      </c>
      <c r="T74" s="9">
        <f>IF(O74=1,((NETWORKDAYS(I74,J74,Праздники)-1)*($M$1-$L$1)+MIN(MAX(MOD(J74,1),(WEEKDAY(J74,2)&gt;5)*$M$1,$L$1),$M$1)-MIN(MAX(MOD(I74,1)*(WEEKDAY(I74,2)&lt;6),$L$1),$M$1)),MAX((TRUNC(J74-I74)-(MOD(J74,1)&gt;MOD(I74,1)))*($M$1-$L$1)+($M$1-MOD(I74,1))+(MOD(J74,1)-$L$1),0))</f>
        <v>2.1195138888870133</v>
      </c>
      <c r="U74" s="6"/>
      <c r="V74" s="6"/>
      <c r="W74" s="6"/>
      <c r="X74" s="6"/>
      <c r="Y74" s="6"/>
      <c r="Z74" s="6"/>
      <c r="AA74" s="6"/>
      <c r="AB74" s="6"/>
      <c r="AC74" s="7">
        <f t="shared" si="19"/>
        <v>2.1195138888870133</v>
      </c>
      <c r="AD74" s="8">
        <f t="shared" si="12"/>
        <v>2.969131944446417</v>
      </c>
      <c r="AF74" s="13">
        <f t="shared" si="13"/>
        <v>2.1195138888870133</v>
      </c>
    </row>
    <row r="75" spans="1:32" ht="23.25" customHeight="1">
      <c r="A75" s="52" t="s">
        <v>146</v>
      </c>
      <c r="B75" s="50"/>
      <c r="C75" s="50"/>
      <c r="D75" s="51"/>
      <c r="E75" s="3">
        <v>18</v>
      </c>
      <c r="F75" s="12">
        <v>41651.539189814815</v>
      </c>
      <c r="G75" s="12">
        <v>41672.539189814815</v>
      </c>
      <c r="H75" s="12">
        <v>41656.494768518518</v>
      </c>
      <c r="I75" s="58">
        <f>IF(ISNUMBER(MATCH(TRUNC(F75),Праздники,0)),TRUNC(F75)+1+$L$1,TRUNC(F75)+MAX(MOD(F75,1),$L$1))</f>
        <v>41651.539189814815</v>
      </c>
      <c r="J75" s="57">
        <f>IF(ISNUMBER(MATCH(TRUNC(H75),Праздники,0)),TRUNC(H75)-1+$M$1,TRUNC(H75)+MIN(MOD(H75,1),$M$1))-SUMPRODUCT((TRUNC(F75)&lt;Праздники)*(TRUNC(H75)&gt;Праздники))</f>
        <v>41656.494768518518</v>
      </c>
      <c r="K75" s="41">
        <v>504</v>
      </c>
      <c r="L75" s="36">
        <v>118.93388888</v>
      </c>
      <c r="M75" s="37">
        <v>0</v>
      </c>
      <c r="N75" s="37">
        <v>0</v>
      </c>
      <c r="O75" s="22">
        <f t="shared" si="14"/>
        <v>1</v>
      </c>
      <c r="P75" s="29">
        <f t="shared" si="18"/>
        <v>2.119768518517958</v>
      </c>
      <c r="Q75" s="6">
        <f t="shared" si="15"/>
        <v>12</v>
      </c>
      <c r="R75" s="6">
        <f t="shared" si="16"/>
        <v>12</v>
      </c>
      <c r="S75" s="6">
        <f t="shared" si="17"/>
        <v>56</v>
      </c>
      <c r="T75" s="9">
        <f>IF(O75=1,((NETWORKDAYS(I75,J75,Праздники)-1)*($M$1-$L$1)+MIN(MAX(MOD(J75,1),(WEEKDAY(J75,2)&gt;5)*$M$1,$L$1),$M$1)-MIN(MAX(MOD(I75,1)*(WEEKDAY(I75,2)&lt;6),$L$1),$M$1)),MAX((TRUNC(J75-I75)-(MOD(J75,1)&gt;MOD(I75,1)))*($M$1-$L$1)+($M$1-MOD(I75,1))+(MOD(J75,1)-$L$1),0))</f>
        <v>2.119768518517958</v>
      </c>
      <c r="U75" s="6"/>
      <c r="V75" s="6"/>
      <c r="W75" s="6"/>
      <c r="X75" s="6"/>
      <c r="Y75" s="6"/>
      <c r="Z75" s="6"/>
      <c r="AA75" s="6"/>
      <c r="AB75" s="6"/>
      <c r="AC75" s="7">
        <f t="shared" si="19"/>
        <v>2.119768518517958</v>
      </c>
      <c r="AD75" s="8">
        <f t="shared" si="12"/>
        <v>2.9555787037024857</v>
      </c>
      <c r="AF75" s="13">
        <f t="shared" si="13"/>
        <v>2.119768518517958</v>
      </c>
    </row>
    <row r="76" spans="1:32" ht="23.25" customHeight="1">
      <c r="A76" s="49" t="s">
        <v>75</v>
      </c>
      <c r="B76" s="50"/>
      <c r="C76" s="50"/>
      <c r="D76" s="51"/>
      <c r="E76" s="4">
        <v>18</v>
      </c>
      <c r="F76" s="12">
        <v>41651.539583333331</v>
      </c>
      <c r="G76" s="12">
        <v>41672.539583333331</v>
      </c>
      <c r="H76" s="12">
        <v>41656.494988425926</v>
      </c>
      <c r="I76" s="58">
        <f>IF(ISNUMBER(MATCH(TRUNC(F76),Праздники,0)),TRUNC(F76)+1+$L$1,TRUNC(F76)+MAX(MOD(F76,1),$L$1))</f>
        <v>41651.539583333331</v>
      </c>
      <c r="J76" s="57">
        <f>IF(ISNUMBER(MATCH(TRUNC(H76),Праздники,0)),TRUNC(H76)-1+$M$1,TRUNC(H76)+MIN(MOD(H76,1),$M$1))-SUMPRODUCT((TRUNC(F76)&lt;Праздники)*(TRUNC(H76)&gt;Праздники))</f>
        <v>41656.494988425926</v>
      </c>
      <c r="K76" s="43">
        <v>504</v>
      </c>
      <c r="L76" s="39">
        <v>118.92972222</v>
      </c>
      <c r="M76" s="40">
        <v>0</v>
      </c>
      <c r="N76" s="40">
        <v>0</v>
      </c>
      <c r="O76" s="22">
        <f t="shared" si="14"/>
        <v>1</v>
      </c>
      <c r="P76" s="29">
        <f t="shared" si="18"/>
        <v>2.1199884259258397</v>
      </c>
      <c r="Q76" s="6">
        <f t="shared" si="15"/>
        <v>12</v>
      </c>
      <c r="R76" s="6">
        <f t="shared" si="16"/>
        <v>12</v>
      </c>
      <c r="S76" s="6">
        <f t="shared" si="17"/>
        <v>57</v>
      </c>
      <c r="T76" s="9">
        <f>IF(O76=1,((NETWORKDAYS(I76,J76,Праздники)-1)*($M$1-$L$1)+MIN(MAX(MOD(J76,1),(WEEKDAY(J76,2)&gt;5)*$M$1,$L$1),$M$1)-MIN(MAX(MOD(I76,1)*(WEEKDAY(I76,2)&lt;6),$L$1),$M$1)),MAX((TRUNC(J76-I76)-(MOD(J76,1)&gt;MOD(I76,1)))*($M$1-$L$1)+($M$1-MOD(I76,1))+(MOD(J76,1)-$L$1),0))</f>
        <v>2.1199884259258397</v>
      </c>
      <c r="U76" s="6"/>
      <c r="V76" s="6"/>
      <c r="W76" s="6"/>
      <c r="X76" s="6"/>
      <c r="Y76" s="6"/>
      <c r="Z76" s="6"/>
      <c r="AA76" s="6"/>
      <c r="AB76" s="6"/>
      <c r="AC76" s="7">
        <f t="shared" si="19"/>
        <v>2.1199884259258397</v>
      </c>
      <c r="AD76" s="8">
        <f t="shared" si="12"/>
        <v>2.9554050925944466</v>
      </c>
      <c r="AF76" s="13">
        <f t="shared" si="13"/>
        <v>2.1199884259258397</v>
      </c>
    </row>
    <row r="77" spans="1:32" ht="23.25" customHeight="1">
      <c r="A77" s="52" t="s">
        <v>76</v>
      </c>
      <c r="B77" s="50"/>
      <c r="C77" s="50"/>
      <c r="D77" s="51"/>
      <c r="E77" s="3">
        <v>18</v>
      </c>
      <c r="F77" s="12">
        <v>41651.556180555555</v>
      </c>
      <c r="G77" s="12">
        <v>41672.556180555555</v>
      </c>
      <c r="H77" s="12">
        <v>41656.495150462964</v>
      </c>
      <c r="I77" s="58">
        <f>IF(ISNUMBER(MATCH(TRUNC(F77),Праздники,0)),TRUNC(F77)+1+$L$1,TRUNC(F77)+MAX(MOD(F77,1),$L$1))</f>
        <v>41651.556180555555</v>
      </c>
      <c r="J77" s="57">
        <f>IF(ISNUMBER(MATCH(TRUNC(H77),Праздники,0)),TRUNC(H77)-1+$M$1,TRUNC(H77)+MIN(MOD(H77,1),$M$1))-SUMPRODUCT((TRUNC(F77)&lt;Праздники)*(TRUNC(H77)&gt;Праздники))</f>
        <v>41656.495150462964</v>
      </c>
      <c r="K77" s="41">
        <v>504</v>
      </c>
      <c r="L77" s="36">
        <v>118.53527776999999</v>
      </c>
      <c r="M77" s="37">
        <v>0</v>
      </c>
      <c r="N77" s="37">
        <v>0</v>
      </c>
      <c r="O77" s="22">
        <f t="shared" si="14"/>
        <v>1</v>
      </c>
      <c r="P77" s="29">
        <f t="shared" si="18"/>
        <v>2.120150462964375</v>
      </c>
      <c r="Q77" s="6">
        <f t="shared" si="15"/>
        <v>12</v>
      </c>
      <c r="R77" s="6">
        <f t="shared" si="16"/>
        <v>13</v>
      </c>
      <c r="S77" s="6">
        <f t="shared" si="17"/>
        <v>20</v>
      </c>
      <c r="T77" s="9">
        <f>IF(O77=1,((NETWORKDAYS(I77,J77,Праздники)-1)*($M$1-$L$1)+MIN(MAX(MOD(J77,1),(WEEKDAY(J77,2)&gt;5)*$M$1,$L$1),$M$1)-MIN(MAX(MOD(I77,1)*(WEEKDAY(I77,2)&lt;6),$L$1),$M$1)),MAX((TRUNC(J77-I77)-(MOD(J77,1)&gt;MOD(I77,1)))*($M$1-$L$1)+($M$1-MOD(I77,1))+(MOD(J77,1)-$L$1),0))</f>
        <v>2.120150462964375</v>
      </c>
      <c r="U77" s="6"/>
      <c r="V77" s="6"/>
      <c r="W77" s="6"/>
      <c r="X77" s="6"/>
      <c r="Y77" s="6"/>
      <c r="Z77" s="6"/>
      <c r="AA77" s="6"/>
      <c r="AB77" s="6"/>
      <c r="AC77" s="7">
        <f t="shared" si="19"/>
        <v>2.120150462964375</v>
      </c>
      <c r="AD77" s="8">
        <f t="shared" si="12"/>
        <v>2.9389699074090458</v>
      </c>
      <c r="AF77" s="13">
        <f t="shared" si="13"/>
        <v>2.120150462964375</v>
      </c>
    </row>
    <row r="78" spans="1:32" ht="23.25" customHeight="1">
      <c r="A78" s="49" t="s">
        <v>147</v>
      </c>
      <c r="B78" s="50"/>
      <c r="C78" s="50"/>
      <c r="D78" s="51"/>
      <c r="E78" s="4">
        <v>18</v>
      </c>
      <c r="F78" s="12">
        <v>41651.563900462963</v>
      </c>
      <c r="G78" s="12">
        <v>41672.563900462963</v>
      </c>
      <c r="H78" s="12">
        <v>41656.495729166665</v>
      </c>
      <c r="I78" s="58">
        <f>IF(ISNUMBER(MATCH(TRUNC(F78),Праздники,0)),TRUNC(F78)+1+$L$1,TRUNC(F78)+MAX(MOD(F78,1),$L$1))</f>
        <v>41651.563900462963</v>
      </c>
      <c r="J78" s="57">
        <f>IF(ISNUMBER(MATCH(TRUNC(H78),Праздники,0)),TRUNC(H78)-1+$M$1,TRUNC(H78)+MIN(MOD(H78,1),$M$1))-SUMPRODUCT((TRUNC(F78)&lt;Праздники)*(TRUNC(H78)&gt;Праздники))</f>
        <v>41656.495729166665</v>
      </c>
      <c r="K78" s="43">
        <v>504</v>
      </c>
      <c r="L78" s="39">
        <v>118.36388888</v>
      </c>
      <c r="M78" s="40">
        <v>0</v>
      </c>
      <c r="N78" s="40">
        <v>0</v>
      </c>
      <c r="O78" s="22">
        <f t="shared" si="14"/>
        <v>1</v>
      </c>
      <c r="P78" s="29">
        <f t="shared" si="18"/>
        <v>2.1207291666651145</v>
      </c>
      <c r="Q78" s="6">
        <f t="shared" si="15"/>
        <v>12</v>
      </c>
      <c r="R78" s="6">
        <f t="shared" si="16"/>
        <v>13</v>
      </c>
      <c r="S78" s="6">
        <f t="shared" si="17"/>
        <v>32</v>
      </c>
      <c r="T78" s="9">
        <f>IF(O78=1,((NETWORKDAYS(I78,J78,Праздники)-1)*($M$1-$L$1)+MIN(MAX(MOD(J78,1),(WEEKDAY(J78,2)&gt;5)*$M$1,$L$1),$M$1)-MIN(MAX(MOD(I78,1)*(WEEKDAY(I78,2)&lt;6),$L$1),$M$1)),MAX((TRUNC(J78-I78)-(MOD(J78,1)&gt;MOD(I78,1)))*($M$1-$L$1)+($M$1-MOD(I78,1))+(MOD(J78,1)-$L$1),0))</f>
        <v>2.1207291666651145</v>
      </c>
      <c r="U78" s="6"/>
      <c r="V78" s="6"/>
      <c r="W78" s="6"/>
      <c r="X78" s="6"/>
      <c r="Y78" s="6"/>
      <c r="Z78" s="6"/>
      <c r="AA78" s="6"/>
      <c r="AB78" s="6"/>
      <c r="AC78" s="7">
        <f t="shared" si="19"/>
        <v>2.1207291666651145</v>
      </c>
      <c r="AD78" s="8">
        <f t="shared" si="12"/>
        <v>2.9318287037021946</v>
      </c>
      <c r="AF78" s="13">
        <f t="shared" si="13"/>
        <v>2.1207291666651145</v>
      </c>
    </row>
    <row r="79" spans="1:32" ht="23.25" customHeight="1">
      <c r="A79" s="52" t="s">
        <v>77</v>
      </c>
      <c r="B79" s="50"/>
      <c r="C79" s="50"/>
      <c r="D79" s="51"/>
      <c r="E79" s="3">
        <v>18</v>
      </c>
      <c r="F79" s="12">
        <v>41651.569502314815</v>
      </c>
      <c r="G79" s="12">
        <v>41672.569502314815</v>
      </c>
      <c r="H79" s="12">
        <v>41656.497083333328</v>
      </c>
      <c r="I79" s="58">
        <f>IF(ISNUMBER(MATCH(TRUNC(F79),Праздники,0)),TRUNC(F79)+1+$L$1,TRUNC(F79)+MAX(MOD(F79,1),$L$1))</f>
        <v>41651.569502314815</v>
      </c>
      <c r="J79" s="57">
        <f>IF(ISNUMBER(MATCH(TRUNC(H79),Праздники,0)),TRUNC(H79)-1+$M$1,TRUNC(H79)+MIN(MOD(H79,1),$M$1))-SUMPRODUCT((TRUNC(F79)&lt;Праздники)*(TRUNC(H79)&gt;Праздники))</f>
        <v>41656.497083333328</v>
      </c>
      <c r="K79" s="41">
        <v>504</v>
      </c>
      <c r="L79" s="36">
        <v>118.26194443999999</v>
      </c>
      <c r="M79" s="37">
        <v>0</v>
      </c>
      <c r="N79" s="37">
        <v>0</v>
      </c>
      <c r="O79" s="22">
        <f t="shared" si="14"/>
        <v>1</v>
      </c>
      <c r="P79" s="29">
        <f t="shared" si="18"/>
        <v>2.1220833333281917</v>
      </c>
      <c r="Q79" s="6">
        <f t="shared" si="15"/>
        <v>12</v>
      </c>
      <c r="R79" s="6">
        <f t="shared" si="16"/>
        <v>13</v>
      </c>
      <c r="S79" s="6">
        <f t="shared" si="17"/>
        <v>40</v>
      </c>
      <c r="T79" s="9">
        <f>IF(O79=1,((NETWORKDAYS(I79,J79,Праздники)-1)*($M$1-$L$1)+MIN(MAX(MOD(J79,1),(WEEKDAY(J79,2)&gt;5)*$M$1,$L$1),$M$1)-MIN(MAX(MOD(I79,1)*(WEEKDAY(I79,2)&lt;6),$L$1),$M$1)),MAX((TRUNC(J79-I79)-(MOD(J79,1)&gt;MOD(I79,1)))*($M$1-$L$1)+($M$1-MOD(I79,1))+(MOD(J79,1)-$L$1),0))</f>
        <v>2.1220833333281917</v>
      </c>
      <c r="U79" s="6"/>
      <c r="V79" s="6"/>
      <c r="W79" s="6"/>
      <c r="X79" s="6"/>
      <c r="Y79" s="6"/>
      <c r="Z79" s="6"/>
      <c r="AA79" s="6"/>
      <c r="AB79" s="6"/>
      <c r="AC79" s="7">
        <f t="shared" si="19"/>
        <v>2.1220833333281917</v>
      </c>
      <c r="AD79" s="8">
        <f t="shared" si="12"/>
        <v>2.9275810185135924</v>
      </c>
      <c r="AF79" s="13">
        <f t="shared" si="13"/>
        <v>2.1220833333281917</v>
      </c>
    </row>
    <row r="80" spans="1:32" ht="23.25" customHeight="1">
      <c r="A80" s="49" t="s">
        <v>78</v>
      </c>
      <c r="B80" s="50"/>
      <c r="C80" s="50"/>
      <c r="D80" s="51"/>
      <c r="E80" s="4">
        <v>18</v>
      </c>
      <c r="F80" s="12">
        <v>41651.573738425926</v>
      </c>
      <c r="G80" s="12">
        <v>41672.573738425926</v>
      </c>
      <c r="H80" s="12">
        <v>41656.497337962959</v>
      </c>
      <c r="I80" s="58">
        <f>IF(ISNUMBER(MATCH(TRUNC(F80),Праздники,0)),TRUNC(F80)+1+$L$1,TRUNC(F80)+MAX(MOD(F80,1),$L$1))</f>
        <v>41651.573738425926</v>
      </c>
      <c r="J80" s="57">
        <f>IF(ISNUMBER(MATCH(TRUNC(H80),Праздники,0)),TRUNC(H80)-1+$M$1,TRUNC(H80)+MIN(MOD(H80,1),$M$1))-SUMPRODUCT((TRUNC(F80)&lt;Праздники)*(TRUNC(H80)&gt;Праздники))</f>
        <v>41656.497337962959</v>
      </c>
      <c r="K80" s="43">
        <v>504</v>
      </c>
      <c r="L80" s="39">
        <v>118.16638888</v>
      </c>
      <c r="M80" s="40">
        <v>0</v>
      </c>
      <c r="N80" s="40">
        <v>0</v>
      </c>
      <c r="O80" s="22">
        <f t="shared" si="14"/>
        <v>1</v>
      </c>
      <c r="P80" s="29">
        <f t="shared" si="18"/>
        <v>2.1223379629591363</v>
      </c>
      <c r="Q80" s="6">
        <f t="shared" si="15"/>
        <v>12</v>
      </c>
      <c r="R80" s="6">
        <f t="shared" si="16"/>
        <v>13</v>
      </c>
      <c r="S80" s="6">
        <f t="shared" si="17"/>
        <v>46</v>
      </c>
      <c r="T80" s="9">
        <f>IF(O80=1,((NETWORKDAYS(I80,J80,Праздники)-1)*($M$1-$L$1)+MIN(MAX(MOD(J80,1),(WEEKDAY(J80,2)&gt;5)*$M$1,$L$1),$M$1)-MIN(MAX(MOD(I80,1)*(WEEKDAY(I80,2)&lt;6),$L$1),$M$1)),MAX((TRUNC(J80-I80)-(MOD(J80,1)&gt;MOD(I80,1)))*($M$1-$L$1)+($M$1-MOD(I80,1))+(MOD(J80,1)-$L$1),0))</f>
        <v>2.1223379629591363</v>
      </c>
      <c r="U80" s="6"/>
      <c r="V80" s="6"/>
      <c r="W80" s="6"/>
      <c r="X80" s="6"/>
      <c r="Y80" s="6"/>
      <c r="Z80" s="6"/>
      <c r="AA80" s="6"/>
      <c r="AB80" s="6"/>
      <c r="AC80" s="7">
        <f t="shared" si="19"/>
        <v>2.1223379629591363</v>
      </c>
      <c r="AD80" s="8">
        <f t="shared" si="12"/>
        <v>2.9235995370327146</v>
      </c>
      <c r="AF80" s="13">
        <f t="shared" si="13"/>
        <v>2.1223379629591363</v>
      </c>
    </row>
    <row r="81" spans="1:32" ht="23.25" customHeight="1">
      <c r="A81" s="52" t="s">
        <v>148</v>
      </c>
      <c r="B81" s="50"/>
      <c r="C81" s="50"/>
      <c r="D81" s="51"/>
      <c r="E81" s="3">
        <v>18</v>
      </c>
      <c r="F81" s="12">
        <v>41651.574710648143</v>
      </c>
      <c r="G81" s="12">
        <v>41672.574710648143</v>
      </c>
      <c r="H81" s="12">
        <v>41656.497685185182</v>
      </c>
      <c r="I81" s="58">
        <f>IF(ISNUMBER(MATCH(TRUNC(F81),Праздники,0)),TRUNC(F81)+1+$L$1,TRUNC(F81)+MAX(MOD(F81,1),$L$1))</f>
        <v>41651.574710648143</v>
      </c>
      <c r="J81" s="57">
        <f>IF(ISNUMBER(MATCH(TRUNC(H81),Праздники,0)),TRUNC(H81)-1+$M$1,TRUNC(H81)+MIN(MOD(H81,1),$M$1))-SUMPRODUCT((TRUNC(F81)&lt;Праздники)*(TRUNC(H81)&gt;Праздники))</f>
        <v>41656.497685185182</v>
      </c>
      <c r="K81" s="41">
        <v>504</v>
      </c>
      <c r="L81" s="36">
        <v>118.15138888</v>
      </c>
      <c r="M81" s="37">
        <v>0</v>
      </c>
      <c r="N81" s="37">
        <v>0</v>
      </c>
      <c r="O81" s="22">
        <f t="shared" si="14"/>
        <v>1</v>
      </c>
      <c r="P81" s="29">
        <f t="shared" si="18"/>
        <v>2.1226851851824904</v>
      </c>
      <c r="Q81" s="6">
        <f t="shared" si="15"/>
        <v>12</v>
      </c>
      <c r="R81" s="6">
        <f t="shared" si="16"/>
        <v>13</v>
      </c>
      <c r="S81" s="6">
        <f t="shared" si="17"/>
        <v>47</v>
      </c>
      <c r="T81" s="9">
        <f>IF(O81=1,((NETWORKDAYS(I81,J81,Праздники)-1)*($M$1-$L$1)+MIN(MAX(MOD(J81,1),(WEEKDAY(J81,2)&gt;5)*$M$1,$L$1),$M$1)-MIN(MAX(MOD(I81,1)*(WEEKDAY(I81,2)&lt;6),$L$1),$M$1)),MAX((TRUNC(J81-I81)-(MOD(J81,1)&gt;MOD(I81,1)))*($M$1-$L$1)+($M$1-MOD(I81,1))+(MOD(J81,1)-$L$1),0))</f>
        <v>2.1226851851824904</v>
      </c>
      <c r="U81" s="6"/>
      <c r="V81" s="6"/>
      <c r="W81" s="6"/>
      <c r="X81" s="6"/>
      <c r="Y81" s="6"/>
      <c r="Z81" s="6"/>
      <c r="AA81" s="6"/>
      <c r="AB81" s="6"/>
      <c r="AC81" s="7">
        <f t="shared" si="19"/>
        <v>2.1226851851824904</v>
      </c>
      <c r="AD81" s="8">
        <f t="shared" si="12"/>
        <v>2.9229745370394085</v>
      </c>
      <c r="AF81" s="13">
        <f t="shared" si="13"/>
        <v>2.1226851851824904</v>
      </c>
    </row>
    <row r="82" spans="1:32" ht="23.25" customHeight="1">
      <c r="A82" s="49" t="s">
        <v>79</v>
      </c>
      <c r="B82" s="50"/>
      <c r="C82" s="50"/>
      <c r="D82" s="51"/>
      <c r="E82" s="4">
        <v>18</v>
      </c>
      <c r="F82" s="12">
        <v>41651.575127314813</v>
      </c>
      <c r="G82" s="12">
        <v>41672.575127314813</v>
      </c>
      <c r="H82" s="12">
        <v>41656.497858796298</v>
      </c>
      <c r="I82" s="58">
        <f>IF(ISNUMBER(MATCH(TRUNC(F82),Праздники,0)),TRUNC(F82)+1+$L$1,TRUNC(F82)+MAX(MOD(F82,1),$L$1))</f>
        <v>41651.575127314813</v>
      </c>
      <c r="J82" s="57">
        <f>IF(ISNUMBER(MATCH(TRUNC(H82),Праздники,0)),TRUNC(H82)-1+$M$1,TRUNC(H82)+MIN(MOD(H82,1),$M$1))-SUMPRODUCT((TRUNC(F82)&lt;Праздники)*(TRUNC(H82)&gt;Праздники))</f>
        <v>41656.497858796298</v>
      </c>
      <c r="K82" s="43">
        <v>504</v>
      </c>
      <c r="L82" s="39">
        <v>118.14555555</v>
      </c>
      <c r="M82" s="40">
        <v>0</v>
      </c>
      <c r="N82" s="40">
        <v>0</v>
      </c>
      <c r="O82" s="22">
        <f t="shared" si="14"/>
        <v>1</v>
      </c>
      <c r="P82" s="29">
        <f t="shared" si="18"/>
        <v>2.1228587962978054</v>
      </c>
      <c r="Q82" s="6">
        <f t="shared" si="15"/>
        <v>12</v>
      </c>
      <c r="R82" s="6">
        <f t="shared" si="16"/>
        <v>13</v>
      </c>
      <c r="S82" s="6">
        <f t="shared" si="17"/>
        <v>48</v>
      </c>
      <c r="T82" s="9">
        <f>IF(O82=1,((NETWORKDAYS(I82,J82,Праздники)-1)*($M$1-$L$1)+MIN(MAX(MOD(J82,1),(WEEKDAY(J82,2)&gt;5)*$M$1,$L$1),$M$1)-MIN(MAX(MOD(I82,1)*(WEEKDAY(I82,2)&lt;6),$L$1),$M$1)),MAX((TRUNC(J82-I82)-(MOD(J82,1)&gt;MOD(I82,1)))*($M$1-$L$1)+($M$1-MOD(I82,1))+(MOD(J82,1)-$L$1),0))</f>
        <v>2.1228587962978054</v>
      </c>
      <c r="U82" s="6"/>
      <c r="V82" s="6"/>
      <c r="W82" s="6"/>
      <c r="X82" s="6"/>
      <c r="Y82" s="6"/>
      <c r="Z82" s="6"/>
      <c r="AA82" s="6"/>
      <c r="AB82" s="6"/>
      <c r="AC82" s="7">
        <f t="shared" si="19"/>
        <v>2.1228587962978054</v>
      </c>
      <c r="AD82" s="8">
        <f t="shared" si="12"/>
        <v>2.9227314814852434</v>
      </c>
      <c r="AF82" s="13">
        <f t="shared" si="13"/>
        <v>2.1228587962978054</v>
      </c>
    </row>
    <row r="83" spans="1:32" ht="23.25" customHeight="1">
      <c r="A83" s="52" t="s">
        <v>80</v>
      </c>
      <c r="B83" s="50"/>
      <c r="C83" s="50"/>
      <c r="D83" s="51"/>
      <c r="E83" s="3">
        <v>18</v>
      </c>
      <c r="F83" s="12">
        <v>41651.575543981482</v>
      </c>
      <c r="G83" s="12">
        <v>41672.575543981482</v>
      </c>
      <c r="H83" s="12">
        <v>41656.498020833329</v>
      </c>
      <c r="I83" s="58">
        <f>IF(ISNUMBER(MATCH(TRUNC(F83),Праздники,0)),TRUNC(F83)+1+$L$1,TRUNC(F83)+MAX(MOD(F83,1),$L$1))</f>
        <v>41651.575543981482</v>
      </c>
      <c r="J83" s="57">
        <f>IF(ISNUMBER(MATCH(TRUNC(H83),Праздники,0)),TRUNC(H83)-1+$M$1,TRUNC(H83)+MIN(MOD(H83,1),$M$1))-SUMPRODUCT((TRUNC(F83)&lt;Праздники)*(TRUNC(H83)&gt;Праздники))</f>
        <v>41656.498020833329</v>
      </c>
      <c r="K83" s="41">
        <v>504</v>
      </c>
      <c r="L83" s="36">
        <v>118.13944444000001</v>
      </c>
      <c r="M83" s="37">
        <v>0</v>
      </c>
      <c r="N83" s="37">
        <v>0</v>
      </c>
      <c r="O83" s="22">
        <f t="shared" si="14"/>
        <v>1</v>
      </c>
      <c r="P83" s="29">
        <f t="shared" si="18"/>
        <v>2.1230208333290648</v>
      </c>
      <c r="Q83" s="6">
        <f t="shared" si="15"/>
        <v>12</v>
      </c>
      <c r="R83" s="6">
        <f t="shared" si="16"/>
        <v>13</v>
      </c>
      <c r="S83" s="6">
        <f t="shared" si="17"/>
        <v>48</v>
      </c>
      <c r="T83" s="9">
        <f>IF(O83=1,((NETWORKDAYS(I83,J83,Праздники)-1)*($M$1-$L$1)+MIN(MAX(MOD(J83,1),(WEEKDAY(J83,2)&gt;5)*$M$1,$L$1),$M$1)-MIN(MAX(MOD(I83,1)*(WEEKDAY(I83,2)&lt;6),$L$1),$M$1)),MAX((TRUNC(J83-I83)-(MOD(J83,1)&gt;MOD(I83,1)))*($M$1-$L$1)+($M$1-MOD(I83,1))+(MOD(J83,1)-$L$1),0))</f>
        <v>2.1230208333290648</v>
      </c>
      <c r="U83" s="6"/>
      <c r="V83" s="6"/>
      <c r="W83" s="6"/>
      <c r="X83" s="6"/>
      <c r="Y83" s="6"/>
      <c r="Z83" s="6"/>
      <c r="AA83" s="6"/>
      <c r="AB83" s="6"/>
      <c r="AC83" s="7">
        <f t="shared" si="19"/>
        <v>2.1230208333290648</v>
      </c>
      <c r="AD83" s="8">
        <f t="shared" si="12"/>
        <v>2.9224768518470228</v>
      </c>
      <c r="AF83" s="13">
        <f t="shared" si="13"/>
        <v>2.1230208333290648</v>
      </c>
    </row>
    <row r="84" spans="1:32" ht="23.25" customHeight="1">
      <c r="A84" s="49" t="s">
        <v>81</v>
      </c>
      <c r="B84" s="50"/>
      <c r="C84" s="50"/>
      <c r="D84" s="51"/>
      <c r="E84" s="4">
        <v>18</v>
      </c>
      <c r="F84" s="12">
        <v>41651.57613425926</v>
      </c>
      <c r="G84" s="12">
        <v>41672.57613425926</v>
      </c>
      <c r="H84" s="12">
        <v>41656.498182870368</v>
      </c>
      <c r="I84" s="58">
        <f>IF(ISNUMBER(MATCH(TRUNC(F84),Праздники,0)),TRUNC(F84)+1+$L$1,TRUNC(F84)+MAX(MOD(F84,1),$L$1))</f>
        <v>41651.57613425926</v>
      </c>
      <c r="J84" s="57">
        <f>IF(ISNUMBER(MATCH(TRUNC(H84),Праздники,0)),TRUNC(H84)-1+$M$1,TRUNC(H84)+MIN(MOD(H84,1),$M$1))-SUMPRODUCT((TRUNC(F84)&lt;Праздники)*(TRUNC(H84)&gt;Праздники))</f>
        <v>41656.498182870368</v>
      </c>
      <c r="K84" s="43">
        <v>504</v>
      </c>
      <c r="L84" s="39">
        <v>118.12916666</v>
      </c>
      <c r="M84" s="40">
        <v>0</v>
      </c>
      <c r="N84" s="40">
        <v>0</v>
      </c>
      <c r="O84" s="22">
        <f t="shared" si="14"/>
        <v>1</v>
      </c>
      <c r="P84" s="29">
        <f t="shared" si="18"/>
        <v>2.1231828703676001</v>
      </c>
      <c r="Q84" s="6">
        <f t="shared" si="15"/>
        <v>12</v>
      </c>
      <c r="R84" s="6">
        <f t="shared" si="16"/>
        <v>13</v>
      </c>
      <c r="S84" s="6">
        <f t="shared" si="17"/>
        <v>49</v>
      </c>
      <c r="T84" s="9">
        <f>IF(O84=1,((NETWORKDAYS(I84,J84,Праздники)-1)*($M$1-$L$1)+MIN(MAX(MOD(J84,1),(WEEKDAY(J84,2)&gt;5)*$M$1,$L$1),$M$1)-MIN(MAX(MOD(I84,1)*(WEEKDAY(I84,2)&lt;6),$L$1),$M$1)),MAX((TRUNC(J84-I84)-(MOD(J84,1)&gt;MOD(I84,1)))*($M$1-$L$1)+($M$1-MOD(I84,1))+(MOD(J84,1)-$L$1),0))</f>
        <v>2.1231828703676001</v>
      </c>
      <c r="U84" s="6"/>
      <c r="V84" s="6"/>
      <c r="W84" s="6"/>
      <c r="X84" s="6"/>
      <c r="Y84" s="6"/>
      <c r="Z84" s="6"/>
      <c r="AA84" s="6"/>
      <c r="AB84" s="6"/>
      <c r="AC84" s="7">
        <f t="shared" si="19"/>
        <v>2.1231828703676001</v>
      </c>
      <c r="AD84" s="8">
        <f t="shared" si="12"/>
        <v>2.922048611108039</v>
      </c>
      <c r="AF84" s="13">
        <f t="shared" si="13"/>
        <v>2.1231828703676001</v>
      </c>
    </row>
    <row r="85" spans="1:32" ht="23.25" customHeight="1">
      <c r="A85" s="52" t="s">
        <v>82</v>
      </c>
      <c r="B85" s="50"/>
      <c r="C85" s="50"/>
      <c r="D85" s="51"/>
      <c r="E85" s="3">
        <v>18</v>
      </c>
      <c r="F85" s="12">
        <v>41651.576585648145</v>
      </c>
      <c r="G85" s="12">
        <v>41672.576585648145</v>
      </c>
      <c r="H85" s="12">
        <v>41656.498344907406</v>
      </c>
      <c r="I85" s="58">
        <f>IF(ISNUMBER(MATCH(TRUNC(F85),Праздники,0)),TRUNC(F85)+1+$L$1,TRUNC(F85)+MAX(MOD(F85,1),$L$1))</f>
        <v>41651.576585648145</v>
      </c>
      <c r="J85" s="57">
        <f>IF(ISNUMBER(MATCH(TRUNC(H85),Праздники,0)),TRUNC(H85)-1+$M$1,TRUNC(H85)+MIN(MOD(H85,1),$M$1))-SUMPRODUCT((TRUNC(F85)&lt;Праздники)*(TRUNC(H85)&gt;Праздники))</f>
        <v>41656.498344907406</v>
      </c>
      <c r="K85" s="41">
        <v>504</v>
      </c>
      <c r="L85" s="36">
        <v>118.12222222</v>
      </c>
      <c r="M85" s="37">
        <v>0</v>
      </c>
      <c r="N85" s="37">
        <v>0</v>
      </c>
      <c r="O85" s="22">
        <f t="shared" si="14"/>
        <v>1</v>
      </c>
      <c r="P85" s="29">
        <f t="shared" si="18"/>
        <v>2.1233449074061355</v>
      </c>
      <c r="Q85" s="6">
        <f t="shared" si="15"/>
        <v>12</v>
      </c>
      <c r="R85" s="6">
        <f t="shared" si="16"/>
        <v>13</v>
      </c>
      <c r="S85" s="6">
        <f t="shared" si="17"/>
        <v>50</v>
      </c>
      <c r="T85" s="9">
        <f>IF(O85=1,((NETWORKDAYS(I85,J85,Праздники)-1)*($M$1-$L$1)+MIN(MAX(MOD(J85,1),(WEEKDAY(J85,2)&gt;5)*$M$1,$L$1),$M$1)-MIN(MAX(MOD(I85,1)*(WEEKDAY(I85,2)&lt;6),$L$1),$M$1)),MAX((TRUNC(J85-I85)-(MOD(J85,1)&gt;MOD(I85,1)))*($M$1-$L$1)+($M$1-MOD(I85,1))+(MOD(J85,1)-$L$1),0))</f>
        <v>2.1233449074061355</v>
      </c>
      <c r="U85" s="6"/>
      <c r="V85" s="6"/>
      <c r="W85" s="6"/>
      <c r="X85" s="6"/>
      <c r="Y85" s="6"/>
      <c r="Z85" s="6"/>
      <c r="AA85" s="6"/>
      <c r="AB85" s="6"/>
      <c r="AC85" s="7">
        <f t="shared" si="19"/>
        <v>2.1233449074061355</v>
      </c>
      <c r="AD85" s="8">
        <f t="shared" si="12"/>
        <v>2.9217592592613073</v>
      </c>
      <c r="AF85" s="13">
        <f t="shared" si="13"/>
        <v>2.1233449074061355</v>
      </c>
    </row>
    <row r="86" spans="1:32" ht="15">
      <c r="A86" s="49" t="s">
        <v>83</v>
      </c>
      <c r="B86" s="50"/>
      <c r="C86" s="50"/>
      <c r="D86" s="51"/>
      <c r="E86" s="4">
        <v>18</v>
      </c>
      <c r="F86" s="12">
        <v>41651.579085648147</v>
      </c>
      <c r="G86" s="12">
        <v>41672.579085648147</v>
      </c>
      <c r="H86" s="12">
        <v>41656.498842592591</v>
      </c>
      <c r="I86" s="58">
        <f>IF(ISNUMBER(MATCH(TRUNC(F86),Праздники,0)),TRUNC(F86)+1+$L$1,TRUNC(F86)+MAX(MOD(F86,1),$L$1))</f>
        <v>41651.579085648147</v>
      </c>
      <c r="J86" s="57">
        <f>IF(ISNUMBER(MATCH(TRUNC(H86),Праздники,0)),TRUNC(H86)-1+$M$1,TRUNC(H86)+MIN(MOD(H86,1),$M$1))-SUMPRODUCT((TRUNC(F86)&lt;Праздники)*(TRUNC(H86)&gt;Праздники))</f>
        <v>41656.498842592591</v>
      </c>
      <c r="K86" s="43">
        <v>504</v>
      </c>
      <c r="L86" s="39">
        <v>118.07416666</v>
      </c>
      <c r="M86" s="40">
        <v>0</v>
      </c>
      <c r="N86" s="40">
        <v>0</v>
      </c>
      <c r="O86" s="22">
        <f t="shared" si="14"/>
        <v>1</v>
      </c>
      <c r="P86" s="29">
        <f t="shared" si="18"/>
        <v>2.1238425925912452</v>
      </c>
      <c r="Q86" s="6">
        <f t="shared" si="15"/>
        <v>12</v>
      </c>
      <c r="R86" s="6">
        <f t="shared" si="16"/>
        <v>13</v>
      </c>
      <c r="S86" s="6">
        <f t="shared" si="17"/>
        <v>53</v>
      </c>
      <c r="T86" s="9">
        <f>IF(O86=1,((NETWORKDAYS(I86,J86,Праздники)-1)*($M$1-$L$1)+MIN(MAX(MOD(J86,1),(WEEKDAY(J86,2)&gt;5)*$M$1,$L$1),$M$1)-MIN(MAX(MOD(I86,1)*(WEEKDAY(I86,2)&lt;6),$L$1),$M$1)),MAX((TRUNC(J86-I86)-(MOD(J86,1)&gt;MOD(I86,1)))*($M$1-$L$1)+($M$1-MOD(I86,1))+(MOD(J86,1)-$L$1),0))</f>
        <v>2.1238425925912452</v>
      </c>
      <c r="U86" s="6"/>
      <c r="V86" s="6"/>
      <c r="W86" s="6"/>
      <c r="X86" s="6"/>
      <c r="Y86" s="6"/>
      <c r="Z86" s="6"/>
      <c r="AA86" s="6"/>
      <c r="AB86" s="6"/>
      <c r="AC86" s="7">
        <f t="shared" si="19"/>
        <v>2.1238425925912452</v>
      </c>
      <c r="AD86" s="8">
        <f t="shared" si="12"/>
        <v>2.9197569444440887</v>
      </c>
      <c r="AF86" s="13">
        <f t="shared" si="13"/>
        <v>2.1238425925912452</v>
      </c>
    </row>
    <row r="87" spans="1:32" ht="27.75" customHeight="1">
      <c r="A87" s="52" t="s">
        <v>20</v>
      </c>
      <c r="B87" s="50"/>
      <c r="C87" s="50"/>
      <c r="D87" s="51"/>
      <c r="E87" s="3">
        <v>34</v>
      </c>
      <c r="F87" s="12">
        <v>41656.296319444446</v>
      </c>
      <c r="G87" s="12">
        <v>41657.479166666664</v>
      </c>
      <c r="H87" s="12">
        <v>41656.537280092591</v>
      </c>
      <c r="I87" s="58">
        <f>IF(ISNUMBER(MATCH(TRUNC(F87),Праздники,0)),TRUNC(F87)+1+$L$1,TRUNC(F87)+MAX(MOD(F87,1),$L$1))</f>
        <v>41656.375</v>
      </c>
      <c r="J87" s="57">
        <f>IF(ISNUMBER(MATCH(TRUNC(H87),Праздники,0)),TRUNC(H87)-1+$M$1,TRUNC(H87)+MIN(MOD(H87,1),$M$1))-SUMPRODUCT((TRUNC(F87)&lt;Праздники)*(TRUNC(H87)&gt;Праздники))</f>
        <v>41656.537280092591</v>
      </c>
      <c r="K87" s="41">
        <v>16</v>
      </c>
      <c r="L87" s="36">
        <v>5.3947222200000002</v>
      </c>
      <c r="M87" s="37">
        <v>0</v>
      </c>
      <c r="N87" s="37">
        <v>0</v>
      </c>
      <c r="O87" s="22">
        <f t="shared" si="14"/>
        <v>0</v>
      </c>
      <c r="P87" s="29">
        <f t="shared" si="18"/>
        <v>0.24096064814511919</v>
      </c>
      <c r="Q87" s="6">
        <f t="shared" si="15"/>
        <v>17</v>
      </c>
      <c r="R87" s="6">
        <f t="shared" si="16"/>
        <v>7</v>
      </c>
      <c r="S87" s="6">
        <f t="shared" si="17"/>
        <v>6</v>
      </c>
      <c r="T87" s="9">
        <f>IF(O87=1,((NETWORKDAYS(I87,J87,Праздники)-1)*($M$1-$L$1)+MIN(MAX(MOD(J87,1),(WEEKDAY(J87,2)&gt;5)*$M$1,$L$1),$M$1)-MIN(MAX(MOD(I87,1)*(WEEKDAY(I87,2)&lt;6),$L$1),$M$1)),MAX((TRUNC(J87-I87)-(MOD(J87,1)&gt;MOD(I87,1)))*($M$1-$L$1)+($M$1-MOD(I87,1))+(MOD(J87,1)-$L$1),0))</f>
        <v>0.16228009259066312</v>
      </c>
      <c r="U87" s="6"/>
      <c r="V87" s="6"/>
      <c r="W87" s="6"/>
      <c r="X87" s="6"/>
      <c r="Y87" s="6"/>
      <c r="Z87" s="6"/>
      <c r="AA87" s="6"/>
      <c r="AB87" s="6"/>
      <c r="AC87" s="7">
        <f t="shared" si="19"/>
        <v>0.24096064814511919</v>
      </c>
      <c r="AD87" s="8">
        <f t="shared" si="12"/>
        <v>0.24096064814511919</v>
      </c>
      <c r="AF87" s="13">
        <f t="shared" si="13"/>
        <v>0.16228009259066312</v>
      </c>
    </row>
    <row r="88" spans="1:32" ht="24.75" customHeight="1">
      <c r="A88" s="49" t="s">
        <v>84</v>
      </c>
      <c r="B88" s="50"/>
      <c r="C88" s="50"/>
      <c r="D88" s="51"/>
      <c r="E88" s="4">
        <v>18</v>
      </c>
      <c r="F88" s="12">
        <v>41649.402407407404</v>
      </c>
      <c r="G88" s="12">
        <v>41670.402407407404</v>
      </c>
      <c r="H88" s="12">
        <v>41656.58153935185</v>
      </c>
      <c r="I88" s="58">
        <f>IF(ISNUMBER(MATCH(TRUNC(F88),Праздники,0)),TRUNC(F88)+1+$L$1,TRUNC(F88)+MAX(MOD(F88,1),$L$1))</f>
        <v>41649.402407407404</v>
      </c>
      <c r="J88" s="57">
        <f>IF(ISNUMBER(MATCH(TRUNC(H88),Праздники,0)),TRUNC(H88)-1+$M$1,TRUNC(H88)+MIN(MOD(H88,1),$M$1))-SUMPRODUCT((TRUNC(F88)&lt;Праздники)*(TRUNC(H88)&gt;Праздники))</f>
        <v>41656.58153935185</v>
      </c>
      <c r="K88" s="43">
        <v>504</v>
      </c>
      <c r="L88" s="39">
        <v>172.29916666</v>
      </c>
      <c r="M88" s="40">
        <v>0</v>
      </c>
      <c r="N88" s="40">
        <v>0</v>
      </c>
      <c r="O88" s="22">
        <f t="shared" si="14"/>
        <v>1</v>
      </c>
      <c r="P88" s="29">
        <f t="shared" si="18"/>
        <v>2.6791319444455439</v>
      </c>
      <c r="Q88" s="6">
        <f t="shared" si="15"/>
        <v>10</v>
      </c>
      <c r="R88" s="6">
        <f t="shared" si="16"/>
        <v>9</v>
      </c>
      <c r="S88" s="6">
        <f t="shared" si="17"/>
        <v>39</v>
      </c>
      <c r="T88" s="9">
        <f>IF(O88=1,((NETWORKDAYS(I88,J88,Праздники)-1)*($M$1-$L$1)+MIN(MAX(MOD(J88,1),(WEEKDAY(J88,2)&gt;5)*$M$1,$L$1),$M$1)-MIN(MAX(MOD(I88,1)*(WEEKDAY(I88,2)&lt;6),$L$1),$M$1)),MAX((TRUNC(J88-I88)-(MOD(J88,1)&gt;MOD(I88,1)))*($M$1-$L$1)+($M$1-MOD(I88,1))+(MOD(J88,1)-$L$1),0))</f>
        <v>2.6791319444455439</v>
      </c>
      <c r="U88" s="6"/>
      <c r="V88" s="6"/>
      <c r="W88" s="6"/>
      <c r="X88" s="6"/>
      <c r="Y88" s="6"/>
      <c r="Z88" s="6"/>
      <c r="AA88" s="6"/>
      <c r="AB88" s="6"/>
      <c r="AC88" s="7">
        <f t="shared" si="19"/>
        <v>2.6791319444455439</v>
      </c>
      <c r="AD88" s="8">
        <f t="shared" si="12"/>
        <v>2.6791319444455439</v>
      </c>
      <c r="AF88" s="13">
        <f t="shared" si="13"/>
        <v>2.6791319444455439</v>
      </c>
    </row>
    <row r="89" spans="1:32" ht="15">
      <c r="A89" s="52" t="s">
        <v>85</v>
      </c>
      <c r="B89" s="50"/>
      <c r="C89" s="50"/>
      <c r="D89" s="51"/>
      <c r="E89" s="3">
        <v>18</v>
      </c>
      <c r="F89" s="12">
        <v>41649.399050925924</v>
      </c>
      <c r="G89" s="12">
        <v>41670.399050925924</v>
      </c>
      <c r="H89" s="12">
        <v>41656.584421296291</v>
      </c>
      <c r="I89" s="58">
        <f>IF(ISNUMBER(MATCH(TRUNC(F89),Праздники,0)),TRUNC(F89)+1+$L$1,TRUNC(F89)+MAX(MOD(F89,1),$L$1))</f>
        <v>41649.399050925924</v>
      </c>
      <c r="J89" s="57">
        <f>IF(ISNUMBER(MATCH(TRUNC(H89),Праздники,0)),TRUNC(H89)-1+$M$1,TRUNC(H89)+MIN(MOD(H89,1),$M$1))-SUMPRODUCT((TRUNC(F89)&lt;Праздники)*(TRUNC(H89)&gt;Праздники))</f>
        <v>41656.584421296291</v>
      </c>
      <c r="K89" s="41">
        <v>504</v>
      </c>
      <c r="L89" s="36">
        <v>172.44888888</v>
      </c>
      <c r="M89" s="37">
        <v>0</v>
      </c>
      <c r="N89" s="37">
        <v>0</v>
      </c>
      <c r="O89" s="22">
        <f t="shared" si="14"/>
        <v>1</v>
      </c>
      <c r="P89" s="29">
        <f t="shared" si="18"/>
        <v>2.6853703703673091</v>
      </c>
      <c r="Q89" s="6">
        <f t="shared" si="15"/>
        <v>10</v>
      </c>
      <c r="R89" s="6">
        <f t="shared" si="16"/>
        <v>9</v>
      </c>
      <c r="S89" s="6">
        <f t="shared" si="17"/>
        <v>34</v>
      </c>
      <c r="T89" s="9">
        <f>IF(O89=1,((NETWORKDAYS(I89,J89,Праздники)-1)*($M$1-$L$1)+MIN(MAX(MOD(J89,1),(WEEKDAY(J89,2)&gt;5)*$M$1,$L$1),$M$1)-MIN(MAX(MOD(I89,1)*(WEEKDAY(I89,2)&lt;6),$L$1),$M$1)),MAX((TRUNC(J89-I89)-(MOD(J89,1)&gt;MOD(I89,1)))*($M$1-$L$1)+($M$1-MOD(I89,1))+(MOD(J89,1)-$L$1),0))</f>
        <v>2.6853703703673091</v>
      </c>
      <c r="U89" s="6"/>
      <c r="V89" s="6"/>
      <c r="W89" s="6"/>
      <c r="X89" s="6"/>
      <c r="Y89" s="6"/>
      <c r="Z89" s="6"/>
      <c r="AA89" s="6"/>
      <c r="AB89" s="6"/>
      <c r="AC89" s="7">
        <f t="shared" si="19"/>
        <v>2.6853703703673091</v>
      </c>
      <c r="AD89" s="8">
        <f t="shared" si="12"/>
        <v>2.6853703703673091</v>
      </c>
      <c r="AF89" s="13">
        <f t="shared" si="13"/>
        <v>2.6853703703673091</v>
      </c>
    </row>
    <row r="90" spans="1:32" ht="15">
      <c r="A90" s="49" t="s">
        <v>21</v>
      </c>
      <c r="B90" s="50"/>
      <c r="C90" s="50"/>
      <c r="D90" s="51"/>
      <c r="E90" s="4">
        <v>34</v>
      </c>
      <c r="F90" s="12">
        <v>41656.35193287037</v>
      </c>
      <c r="G90" s="12">
        <v>41657.665370370371</v>
      </c>
      <c r="H90" s="12">
        <v>41656.661956018514</v>
      </c>
      <c r="I90" s="58">
        <f>IF(ISNUMBER(MATCH(TRUNC(F90),Праздники,0)),TRUNC(F90)+1+$L$1,TRUNC(F90)+MAX(MOD(F90,1),$L$1))</f>
        <v>41656.375</v>
      </c>
      <c r="J90" s="57">
        <f>IF(ISNUMBER(MATCH(TRUNC(H90),Праздники,0)),TRUNC(H90)-1+$M$1,TRUNC(H90)+MIN(MOD(H90,1),$M$1))-SUMPRODUCT((TRUNC(F90)&lt;Праздники)*(TRUNC(H90)&gt;Праздники))</f>
        <v>41656.661956018514</v>
      </c>
      <c r="K90" s="43">
        <v>16</v>
      </c>
      <c r="L90" s="39">
        <v>3.9180555500000001</v>
      </c>
      <c r="M90" s="40">
        <v>0</v>
      </c>
      <c r="N90" s="40">
        <v>0</v>
      </c>
      <c r="O90" s="22">
        <f t="shared" si="14"/>
        <v>0</v>
      </c>
      <c r="P90" s="29">
        <f t="shared" si="18"/>
        <v>0.31002314814395504</v>
      </c>
      <c r="Q90" s="6">
        <f t="shared" si="15"/>
        <v>17</v>
      </c>
      <c r="R90" s="6">
        <f t="shared" si="16"/>
        <v>8</v>
      </c>
      <c r="S90" s="6">
        <f t="shared" si="17"/>
        <v>26</v>
      </c>
      <c r="T90" s="9">
        <f>IF(O90=1,((NETWORKDAYS(I90,J90,Праздники)-1)*($M$1-$L$1)+MIN(MAX(MOD(J90,1),(WEEKDAY(J90,2)&gt;5)*$M$1,$L$1),$M$1)-MIN(MAX(MOD(I90,1)*(WEEKDAY(I90,2)&lt;6),$L$1),$M$1)),MAX((TRUNC(J90-I90)-(MOD(J90,1)&gt;MOD(I90,1)))*($M$1-$L$1)+($M$1-MOD(I90,1))+(MOD(J90,1)-$L$1),0))</f>
        <v>0.28695601851359243</v>
      </c>
      <c r="U90" s="6"/>
      <c r="V90" s="6"/>
      <c r="W90" s="6"/>
      <c r="X90" s="6"/>
      <c r="Y90" s="6"/>
      <c r="Z90" s="6"/>
      <c r="AA90" s="6"/>
      <c r="AB90" s="6"/>
      <c r="AC90" s="7">
        <f t="shared" si="19"/>
        <v>0.31002314814395504</v>
      </c>
      <c r="AD90" s="8">
        <f t="shared" si="12"/>
        <v>0.31002314814395504</v>
      </c>
      <c r="AF90" s="13">
        <f t="shared" si="13"/>
        <v>0.28695601851359243</v>
      </c>
    </row>
    <row r="91" spans="1:32" ht="15">
      <c r="A91" s="52" t="s">
        <v>149</v>
      </c>
      <c r="B91" s="50"/>
      <c r="C91" s="50"/>
      <c r="D91" s="51"/>
      <c r="E91" s="3">
        <v>34</v>
      </c>
      <c r="F91" s="12">
        <v>41657.564282407402</v>
      </c>
      <c r="G91" s="12">
        <v>41658.730949074074</v>
      </c>
      <c r="H91" s="12">
        <v>41658.666886574072</v>
      </c>
      <c r="I91" s="58">
        <f>IF(ISNUMBER(MATCH(TRUNC(F91),Праздники,0)),TRUNC(F91)+1+$L$1,TRUNC(F91)+MAX(MOD(F91,1),$L$1))</f>
        <v>41657.564282407402</v>
      </c>
      <c r="J91" s="57">
        <f>IF(ISNUMBER(MATCH(TRUNC(H91),Праздники,0)),TRUNC(H91)-1+$M$1,TRUNC(H91)+MIN(MOD(H91,1),$M$1))-SUMPRODUCT((TRUNC(F91)&lt;Праздники)*(TRUNC(H91)&gt;Праздники))</f>
        <v>41658.666886574072</v>
      </c>
      <c r="K91" s="41">
        <v>16</v>
      </c>
      <c r="L91" s="36">
        <v>14.4625</v>
      </c>
      <c r="M91" s="37">
        <v>0</v>
      </c>
      <c r="N91" s="37">
        <v>0</v>
      </c>
      <c r="O91" s="22">
        <f t="shared" si="14"/>
        <v>0</v>
      </c>
      <c r="P91" s="29">
        <f t="shared" si="18"/>
        <v>0.60260416667006211</v>
      </c>
      <c r="Q91" s="6">
        <f t="shared" si="15"/>
        <v>18</v>
      </c>
      <c r="R91" s="6">
        <f t="shared" si="16"/>
        <v>13</v>
      </c>
      <c r="S91" s="6">
        <f t="shared" si="17"/>
        <v>32</v>
      </c>
      <c r="T91" s="9">
        <f>IF(O91=1,((NETWORKDAYS(I91,J91,Праздники)-1)*($M$1-$L$1)+MIN(MAX(MOD(J91,1),(WEEKDAY(J91,2)&gt;5)*$M$1,$L$1),$M$1)-MIN(MAX(MOD(I91,1)*(WEEKDAY(I91,2)&lt;6),$L$1),$M$1)),MAX((TRUNC(J91-I91)-(MOD(J91,1)&gt;MOD(I91,1)))*($M$1-$L$1)+($M$1-MOD(I91,1))+(MOD(J91,1)-$L$1),0))</f>
        <v>0.60260416667006211</v>
      </c>
      <c r="U91" s="6"/>
      <c r="V91" s="6"/>
      <c r="W91" s="6"/>
      <c r="X91" s="6"/>
      <c r="Y91" s="6"/>
      <c r="Z91" s="6"/>
      <c r="AA91" s="6"/>
      <c r="AB91" s="6"/>
      <c r="AC91" s="7">
        <f t="shared" si="19"/>
        <v>0.60260416667006211</v>
      </c>
      <c r="AD91" s="8">
        <f t="shared" si="12"/>
        <v>0.10260416667006211</v>
      </c>
      <c r="AF91" s="13">
        <f t="shared" si="13"/>
        <v>0</v>
      </c>
    </row>
    <row r="92" spans="1:32" ht="15">
      <c r="A92" s="49" t="s">
        <v>86</v>
      </c>
      <c r="B92" s="50"/>
      <c r="C92" s="50"/>
      <c r="D92" s="51"/>
      <c r="E92" s="4">
        <v>18</v>
      </c>
      <c r="F92" s="12">
        <v>41651.898344907408</v>
      </c>
      <c r="G92" s="12">
        <v>41672.898344907408</v>
      </c>
      <c r="H92" s="12">
        <v>41659.484097222223</v>
      </c>
      <c r="I92" s="58">
        <f>IF(ISNUMBER(MATCH(TRUNC(F92),Праздники,0)),TRUNC(F92)+1+$L$1,TRUNC(F92)+MAX(MOD(F92,1),$L$1))</f>
        <v>41651.898344907408</v>
      </c>
      <c r="J92" s="57">
        <f>IF(ISNUMBER(MATCH(TRUNC(H92),Праздники,0)),TRUNC(H92)-1+$M$1,TRUNC(H92)+MIN(MOD(H92,1),$M$1))-SUMPRODUCT((TRUNC(F92)&lt;Праздники)*(TRUNC(H92)&gt;Праздники))</f>
        <v>41659.484097222223</v>
      </c>
      <c r="K92" s="43">
        <v>504</v>
      </c>
      <c r="L92" s="39">
        <v>182.05805555000001</v>
      </c>
      <c r="M92" s="40">
        <v>0</v>
      </c>
      <c r="N92" s="40">
        <v>0</v>
      </c>
      <c r="O92" s="22">
        <f t="shared" si="14"/>
        <v>1</v>
      </c>
      <c r="P92" s="29">
        <f t="shared" si="18"/>
        <v>2.609097222222772</v>
      </c>
      <c r="Q92" s="6">
        <f t="shared" si="15"/>
        <v>12</v>
      </c>
      <c r="R92" s="6">
        <f t="shared" si="16"/>
        <v>21</v>
      </c>
      <c r="S92" s="6">
        <f t="shared" si="17"/>
        <v>33</v>
      </c>
      <c r="T92" s="9">
        <f>IF(O92=1,((NETWORKDAYS(I92,J92,Праздники)-1)*($M$1-$L$1)+MIN(MAX(MOD(J92,1),(WEEKDAY(J92,2)&gt;5)*$M$1,$L$1),$M$1)-MIN(MAX(MOD(I92,1)*(WEEKDAY(I92,2)&lt;6),$L$1),$M$1)),MAX((TRUNC(J92-I92)-(MOD(J92,1)&gt;MOD(I92,1)))*($M$1-$L$1)+($M$1-MOD(I92,1))+(MOD(J92,1)-$L$1),0))</f>
        <v>2.609097222222772</v>
      </c>
      <c r="U92" s="6"/>
      <c r="V92" s="6"/>
      <c r="W92" s="6"/>
      <c r="X92" s="6"/>
      <c r="Y92" s="6"/>
      <c r="Z92" s="6"/>
      <c r="AA92" s="6"/>
      <c r="AB92" s="6"/>
      <c r="AC92" s="7">
        <f t="shared" si="19"/>
        <v>2.609097222222772</v>
      </c>
      <c r="AD92" s="8">
        <f t="shared" si="12"/>
        <v>3.0857523148151813</v>
      </c>
      <c r="AF92" s="13">
        <f t="shared" si="13"/>
        <v>2.609097222222772</v>
      </c>
    </row>
    <row r="93" spans="1:32" ht="15">
      <c r="A93" s="52" t="s">
        <v>87</v>
      </c>
      <c r="B93" s="50"/>
      <c r="C93" s="50"/>
      <c r="D93" s="51"/>
      <c r="E93" s="3">
        <v>18</v>
      </c>
      <c r="F93" s="12">
        <v>41651.898877314816</v>
      </c>
      <c r="G93" s="12">
        <v>41672.898877314816</v>
      </c>
      <c r="H93" s="12">
        <v>41659.48474537037</v>
      </c>
      <c r="I93" s="58">
        <f>IF(ISNUMBER(MATCH(TRUNC(F93),Праздники,0)),TRUNC(F93)+1+$L$1,TRUNC(F93)+MAX(MOD(F93,1),$L$1))</f>
        <v>41651.898877314816</v>
      </c>
      <c r="J93" s="57">
        <f>IF(ISNUMBER(MATCH(TRUNC(H93),Праздники,0)),TRUNC(H93)-1+$M$1,TRUNC(H93)+MIN(MOD(H93,1),$M$1))-SUMPRODUCT((TRUNC(F93)&lt;Праздники)*(TRUNC(H93)&gt;Праздники))</f>
        <v>41659.48474537037</v>
      </c>
      <c r="K93" s="41">
        <v>504</v>
      </c>
      <c r="L93" s="36">
        <v>182.06083333000001</v>
      </c>
      <c r="M93" s="37">
        <v>0</v>
      </c>
      <c r="N93" s="37">
        <v>0</v>
      </c>
      <c r="O93" s="22">
        <f t="shared" si="14"/>
        <v>1</v>
      </c>
      <c r="P93" s="29">
        <f t="shared" si="18"/>
        <v>2.6097453703696374</v>
      </c>
      <c r="Q93" s="6">
        <f t="shared" si="15"/>
        <v>12</v>
      </c>
      <c r="R93" s="6">
        <f t="shared" si="16"/>
        <v>21</v>
      </c>
      <c r="S93" s="6">
        <f t="shared" si="17"/>
        <v>34</v>
      </c>
      <c r="T93" s="9">
        <f>IF(O93=1,((NETWORKDAYS(I93,J93,Праздники)-1)*($M$1-$L$1)+MIN(MAX(MOD(J93,1),(WEEKDAY(J93,2)&gt;5)*$M$1,$L$1),$M$1)-MIN(MAX(MOD(I93,1)*(WEEKDAY(I93,2)&lt;6),$L$1),$M$1)),MAX((TRUNC(J93-I93)-(MOD(J93,1)&gt;MOD(I93,1)))*($M$1-$L$1)+($M$1-MOD(I93,1))+(MOD(J93,1)-$L$1),0))</f>
        <v>2.6097453703696374</v>
      </c>
      <c r="U93" s="6"/>
      <c r="V93" s="6"/>
      <c r="W93" s="6"/>
      <c r="X93" s="6"/>
      <c r="Y93" s="6"/>
      <c r="Z93" s="6"/>
      <c r="AA93" s="6"/>
      <c r="AB93" s="6"/>
      <c r="AC93" s="7">
        <f t="shared" si="19"/>
        <v>2.6097453703696374</v>
      </c>
      <c r="AD93" s="8">
        <f t="shared" si="12"/>
        <v>3.085868055553874</v>
      </c>
      <c r="AF93" s="13">
        <f t="shared" si="13"/>
        <v>2.6097453703696374</v>
      </c>
    </row>
    <row r="94" spans="1:32" ht="15">
      <c r="A94" s="49" t="s">
        <v>88</v>
      </c>
      <c r="B94" s="50"/>
      <c r="C94" s="50"/>
      <c r="D94" s="51"/>
      <c r="E94" s="4">
        <v>18</v>
      </c>
      <c r="F94" s="12">
        <v>41651.900624999995</v>
      </c>
      <c r="G94" s="12">
        <v>41672.900624999995</v>
      </c>
      <c r="H94" s="12">
        <v>41659.485347222224</v>
      </c>
      <c r="I94" s="58">
        <f>IF(ISNUMBER(MATCH(TRUNC(F94),Праздники,0)),TRUNC(F94)+1+$L$1,TRUNC(F94)+MAX(MOD(F94,1),$L$1))</f>
        <v>41651.900624999995</v>
      </c>
      <c r="J94" s="57">
        <f>IF(ISNUMBER(MATCH(TRUNC(H94),Праздники,0)),TRUNC(H94)-1+$M$1,TRUNC(H94)+MIN(MOD(H94,1),$M$1))-SUMPRODUCT((TRUNC(F94)&lt;Праздники)*(TRUNC(H94)&gt;Праздники))</f>
        <v>41659.485347222224</v>
      </c>
      <c r="K94" s="43">
        <v>504</v>
      </c>
      <c r="L94" s="39">
        <v>182.03333333</v>
      </c>
      <c r="M94" s="40">
        <v>0</v>
      </c>
      <c r="N94" s="40">
        <v>0</v>
      </c>
      <c r="O94" s="22">
        <f t="shared" si="14"/>
        <v>1</v>
      </c>
      <c r="P94" s="29">
        <f t="shared" si="18"/>
        <v>2.6103472222239361</v>
      </c>
      <c r="Q94" s="6">
        <f t="shared" si="15"/>
        <v>12</v>
      </c>
      <c r="R94" s="6">
        <f t="shared" si="16"/>
        <v>21</v>
      </c>
      <c r="S94" s="6">
        <f t="shared" si="17"/>
        <v>36</v>
      </c>
      <c r="T94" s="9">
        <f>IF(O94=1,((NETWORKDAYS(I94,J94,Праздники)-1)*($M$1-$L$1)+MIN(MAX(MOD(J94,1),(WEEKDAY(J94,2)&gt;5)*$M$1,$L$1),$M$1)-MIN(MAX(MOD(I94,1)*(WEEKDAY(I94,2)&lt;6),$L$1),$M$1)),MAX((TRUNC(J94-I94)-(MOD(J94,1)&gt;MOD(I94,1)))*($M$1-$L$1)+($M$1-MOD(I94,1))+(MOD(J94,1)-$L$1),0))</f>
        <v>2.6103472222239361</v>
      </c>
      <c r="U94" s="6"/>
      <c r="V94" s="6"/>
      <c r="W94" s="6"/>
      <c r="X94" s="6"/>
      <c r="Y94" s="6"/>
      <c r="Z94" s="6"/>
      <c r="AA94" s="6"/>
      <c r="AB94" s="6"/>
      <c r="AC94" s="7">
        <f t="shared" si="19"/>
        <v>2.6103472222239361</v>
      </c>
      <c r="AD94" s="8">
        <f t="shared" si="12"/>
        <v>3.0847222222291748</v>
      </c>
      <c r="AF94" s="13">
        <f t="shared" si="13"/>
        <v>2.6103472222239361</v>
      </c>
    </row>
    <row r="95" spans="1:32" ht="15">
      <c r="A95" s="52" t="s">
        <v>150</v>
      </c>
      <c r="B95" s="50"/>
      <c r="C95" s="50"/>
      <c r="D95" s="51"/>
      <c r="E95" s="3">
        <v>18</v>
      </c>
      <c r="F95" s="12">
        <v>41651.901157407403</v>
      </c>
      <c r="G95" s="12">
        <v>41672.901157407403</v>
      </c>
      <c r="H95" s="12">
        <v>41659.485925925925</v>
      </c>
      <c r="I95" s="58">
        <f>IF(ISNUMBER(MATCH(TRUNC(F95),Праздники,0)),TRUNC(F95)+1+$L$1,TRUNC(F95)+MAX(MOD(F95,1),$L$1))</f>
        <v>41651.901157407403</v>
      </c>
      <c r="J95" s="57">
        <f>IF(ISNUMBER(MATCH(TRUNC(H95),Праздники,0)),TRUNC(H95)-1+$M$1,TRUNC(H95)+MIN(MOD(H95,1),$M$1))-SUMPRODUCT((TRUNC(F95)&lt;Праздники)*(TRUNC(H95)&gt;Праздники))</f>
        <v>41659.485925925925</v>
      </c>
      <c r="K95" s="41">
        <v>504</v>
      </c>
      <c r="L95" s="36">
        <v>182.03444443999999</v>
      </c>
      <c r="M95" s="37">
        <v>0</v>
      </c>
      <c r="N95" s="37">
        <v>0</v>
      </c>
      <c r="O95" s="22">
        <f t="shared" si="14"/>
        <v>1</v>
      </c>
      <c r="P95" s="29">
        <f t="shared" si="18"/>
        <v>2.6109259259246755</v>
      </c>
      <c r="Q95" s="6">
        <f t="shared" si="15"/>
        <v>12</v>
      </c>
      <c r="R95" s="6">
        <f t="shared" si="16"/>
        <v>21</v>
      </c>
      <c r="S95" s="6">
        <f t="shared" si="17"/>
        <v>37</v>
      </c>
      <c r="T95" s="9">
        <f>IF(O95=1,((NETWORKDAYS(I95,J95,Праздники)-1)*($M$1-$L$1)+MIN(MAX(MOD(J95,1),(WEEKDAY(J95,2)&gt;5)*$M$1,$L$1),$M$1)-MIN(MAX(MOD(I95,1)*(WEEKDAY(I95,2)&lt;6),$L$1),$M$1)),MAX((TRUNC(J95-I95)-(MOD(J95,1)&gt;MOD(I95,1)))*($M$1-$L$1)+($M$1-MOD(I95,1))+(MOD(J95,1)-$L$1),0))</f>
        <v>2.6109259259246755</v>
      </c>
      <c r="U95" s="6"/>
      <c r="V95" s="6"/>
      <c r="W95" s="6"/>
      <c r="X95" s="6"/>
      <c r="Y95" s="6"/>
      <c r="Z95" s="6"/>
      <c r="AA95" s="6"/>
      <c r="AB95" s="6"/>
      <c r="AC95" s="7">
        <f t="shared" si="19"/>
        <v>2.6109259259246755</v>
      </c>
      <c r="AD95" s="8">
        <f t="shared" si="12"/>
        <v>3.0847685185217415</v>
      </c>
      <c r="AF95" s="13">
        <f t="shared" si="13"/>
        <v>2.6109259259246755</v>
      </c>
    </row>
    <row r="96" spans="1:32" ht="15">
      <c r="A96" s="49" t="s">
        <v>89</v>
      </c>
      <c r="B96" s="50"/>
      <c r="C96" s="50"/>
      <c r="D96" s="51"/>
      <c r="E96" s="4">
        <v>18</v>
      </c>
      <c r="F96" s="12">
        <v>41651.901689814811</v>
      </c>
      <c r="G96" s="12">
        <v>41672.901689814811</v>
      </c>
      <c r="H96" s="12">
        <v>41659.48642361111</v>
      </c>
      <c r="I96" s="58">
        <f>IF(ISNUMBER(MATCH(TRUNC(F96),Праздники,0)),TRUNC(F96)+1+$L$1,TRUNC(F96)+MAX(MOD(F96,1),$L$1))</f>
        <v>41651.901689814811</v>
      </c>
      <c r="J96" s="57">
        <f>IF(ISNUMBER(MATCH(TRUNC(H96),Праздники,0)),TRUNC(H96)-1+$M$1,TRUNC(H96)+MIN(MOD(H96,1),$M$1))-SUMPRODUCT((TRUNC(F96)&lt;Праздники)*(TRUNC(H96)&gt;Праздники))</f>
        <v>41659.48642361111</v>
      </c>
      <c r="K96" s="43">
        <v>504</v>
      </c>
      <c r="L96" s="39">
        <v>182.03361111000001</v>
      </c>
      <c r="M96" s="40">
        <v>0</v>
      </c>
      <c r="N96" s="40">
        <v>0</v>
      </c>
      <c r="O96" s="22">
        <f t="shared" si="14"/>
        <v>1</v>
      </c>
      <c r="P96" s="29">
        <f t="shared" si="18"/>
        <v>2.6114236111097853</v>
      </c>
      <c r="Q96" s="6">
        <f t="shared" si="15"/>
        <v>12</v>
      </c>
      <c r="R96" s="6">
        <f t="shared" si="16"/>
        <v>21</v>
      </c>
      <c r="S96" s="6">
        <f t="shared" si="17"/>
        <v>38</v>
      </c>
      <c r="T96" s="9">
        <f>IF(O96=1,((NETWORKDAYS(I96,J96,Праздники)-1)*($M$1-$L$1)+MIN(MAX(MOD(J96,1),(WEEKDAY(J96,2)&gt;5)*$M$1,$L$1),$M$1)-MIN(MAX(MOD(I96,1)*(WEEKDAY(I96,2)&lt;6),$L$1),$M$1)),MAX((TRUNC(J96-I96)-(MOD(J96,1)&gt;MOD(I96,1)))*($M$1-$L$1)+($M$1-MOD(I96,1))+(MOD(J96,1)-$L$1),0))</f>
        <v>2.6114236111097853</v>
      </c>
      <c r="U96" s="6"/>
      <c r="V96" s="6"/>
      <c r="W96" s="6"/>
      <c r="X96" s="6"/>
      <c r="Y96" s="6"/>
      <c r="Z96" s="6"/>
      <c r="AA96" s="6"/>
      <c r="AB96" s="6"/>
      <c r="AC96" s="7">
        <f t="shared" si="19"/>
        <v>2.6114236111097853</v>
      </c>
      <c r="AD96" s="8">
        <f t="shared" si="12"/>
        <v>3.0847337962986785</v>
      </c>
      <c r="AF96" s="13">
        <f t="shared" si="13"/>
        <v>2.6114236111097853</v>
      </c>
    </row>
    <row r="97" spans="1:32" ht="15">
      <c r="A97" s="52" t="s">
        <v>90</v>
      </c>
      <c r="B97" s="50"/>
      <c r="C97" s="50"/>
      <c r="D97" s="51"/>
      <c r="E97" s="3">
        <v>18</v>
      </c>
      <c r="F97" s="12">
        <v>41651.902719907404</v>
      </c>
      <c r="G97" s="12">
        <v>41672.902719907404</v>
      </c>
      <c r="H97" s="12">
        <v>41659.486921296295</v>
      </c>
      <c r="I97" s="58">
        <f>IF(ISNUMBER(MATCH(TRUNC(F97),Праздники,0)),TRUNC(F97)+1+$L$1,TRUNC(F97)+MAX(MOD(F97,1),$L$1))</f>
        <v>41651.902719907404</v>
      </c>
      <c r="J97" s="57">
        <f>IF(ISNUMBER(MATCH(TRUNC(H97),Праздники,0)),TRUNC(H97)-1+$M$1,TRUNC(H97)+MIN(MOD(H97,1),$M$1))-SUMPRODUCT((TRUNC(F97)&lt;Праздники)*(TRUNC(H97)&gt;Праздники))</f>
        <v>41659.486921296295</v>
      </c>
      <c r="K97" s="41">
        <v>504</v>
      </c>
      <c r="L97" s="36">
        <v>182.02083332999999</v>
      </c>
      <c r="M97" s="37">
        <v>0</v>
      </c>
      <c r="N97" s="37">
        <v>0</v>
      </c>
      <c r="O97" s="22">
        <f t="shared" si="14"/>
        <v>1</v>
      </c>
      <c r="P97" s="29">
        <f t="shared" si="18"/>
        <v>2.611921296294895</v>
      </c>
      <c r="Q97" s="6">
        <f t="shared" si="15"/>
        <v>12</v>
      </c>
      <c r="R97" s="6">
        <f t="shared" si="16"/>
        <v>21</v>
      </c>
      <c r="S97" s="6">
        <f t="shared" si="17"/>
        <v>39</v>
      </c>
      <c r="T97" s="9">
        <f>IF(O97=1,((NETWORKDAYS(I97,J97,Праздники)-1)*($M$1-$L$1)+MIN(MAX(MOD(J97,1),(WEEKDAY(J97,2)&gt;5)*$M$1,$L$1),$M$1)-MIN(MAX(MOD(I97,1)*(WEEKDAY(I97,2)&lt;6),$L$1),$M$1)),MAX((TRUNC(J97-I97)-(MOD(J97,1)&gt;MOD(I97,1)))*($M$1-$L$1)+($M$1-MOD(I97,1))+(MOD(J97,1)-$L$1),0))</f>
        <v>2.611921296294895</v>
      </c>
      <c r="U97" s="6"/>
      <c r="V97" s="6"/>
      <c r="W97" s="6"/>
      <c r="X97" s="6"/>
      <c r="Y97" s="6"/>
      <c r="Z97" s="6"/>
      <c r="AA97" s="6"/>
      <c r="AB97" s="6"/>
      <c r="AC97" s="7">
        <f t="shared" si="19"/>
        <v>2.611921296294895</v>
      </c>
      <c r="AD97" s="8">
        <f t="shared" si="12"/>
        <v>3.0842013888905058</v>
      </c>
      <c r="AF97" s="13">
        <f t="shared" si="13"/>
        <v>2.611921296294895</v>
      </c>
    </row>
    <row r="98" spans="1:32" ht="15">
      <c r="A98" s="49" t="s">
        <v>91</v>
      </c>
      <c r="B98" s="50"/>
      <c r="C98" s="50"/>
      <c r="D98" s="51"/>
      <c r="E98" s="4">
        <v>18</v>
      </c>
      <c r="F98" s="12">
        <v>41651.903252314813</v>
      </c>
      <c r="G98" s="12">
        <v>41672.903252314813</v>
      </c>
      <c r="H98" s="12">
        <v>41659.487291666665</v>
      </c>
      <c r="I98" s="58">
        <f>IF(ISNUMBER(MATCH(TRUNC(F98),Праздники,0)),TRUNC(F98)+1+$L$1,TRUNC(F98)+MAX(MOD(F98,1),$L$1))</f>
        <v>41651.903252314813</v>
      </c>
      <c r="J98" s="57">
        <f>IF(ISNUMBER(MATCH(TRUNC(H98),Праздники,0)),TRUNC(H98)-1+$M$1,TRUNC(H98)+MIN(MOD(H98,1),$M$1))-SUMPRODUCT((TRUNC(F98)&lt;Праздники)*(TRUNC(H98)&gt;Праздники))</f>
        <v>41659.487291666665</v>
      </c>
      <c r="K98" s="43">
        <v>504</v>
      </c>
      <c r="L98" s="39">
        <v>182.01694444</v>
      </c>
      <c r="M98" s="40">
        <v>0</v>
      </c>
      <c r="N98" s="40">
        <v>0</v>
      </c>
      <c r="O98" s="22">
        <f t="shared" si="14"/>
        <v>1</v>
      </c>
      <c r="P98" s="29">
        <f t="shared" si="18"/>
        <v>2.6122916666645324</v>
      </c>
      <c r="Q98" s="6">
        <f t="shared" si="15"/>
        <v>12</v>
      </c>
      <c r="R98" s="6">
        <f t="shared" si="16"/>
        <v>21</v>
      </c>
      <c r="S98" s="6">
        <f t="shared" si="17"/>
        <v>40</v>
      </c>
      <c r="T98" s="9">
        <f>IF(O98=1,((NETWORKDAYS(I98,J98,Праздники)-1)*($M$1-$L$1)+MIN(MAX(MOD(J98,1),(WEEKDAY(J98,2)&gt;5)*$M$1,$L$1),$M$1)-MIN(MAX(MOD(I98,1)*(WEEKDAY(I98,2)&lt;6),$L$1),$M$1)),MAX((TRUNC(J98-I98)-(MOD(J98,1)&gt;MOD(I98,1)))*($M$1-$L$1)+($M$1-MOD(I98,1))+(MOD(J98,1)-$L$1),0))</f>
        <v>2.6122916666645324</v>
      </c>
      <c r="U98" s="6"/>
      <c r="V98" s="6"/>
      <c r="W98" s="6"/>
      <c r="X98" s="6"/>
      <c r="Y98" s="6"/>
      <c r="Z98" s="6"/>
      <c r="AA98" s="6"/>
      <c r="AB98" s="6"/>
      <c r="AC98" s="7">
        <f t="shared" si="19"/>
        <v>2.6122916666645324</v>
      </c>
      <c r="AD98" s="8">
        <f t="shared" si="12"/>
        <v>3.0840393518519704</v>
      </c>
      <c r="AF98" s="13">
        <f t="shared" si="13"/>
        <v>2.6122916666645324</v>
      </c>
    </row>
    <row r="99" spans="1:32" ht="15">
      <c r="A99" s="52" t="s">
        <v>92</v>
      </c>
      <c r="B99" s="50"/>
      <c r="C99" s="50"/>
      <c r="D99" s="51"/>
      <c r="E99" s="3">
        <v>18</v>
      </c>
      <c r="F99" s="12">
        <v>41651.578553240739</v>
      </c>
      <c r="G99" s="12">
        <v>41672.578553240739</v>
      </c>
      <c r="H99" s="12">
        <v>41659.501458333332</v>
      </c>
      <c r="I99" s="58">
        <f>IF(ISNUMBER(MATCH(TRUNC(F99),Праздники,0)),TRUNC(F99)+1+$L$1,TRUNC(F99)+MAX(MOD(F99,1),$L$1))</f>
        <v>41651.578553240739</v>
      </c>
      <c r="J99" s="57">
        <f>IF(ISNUMBER(MATCH(TRUNC(H99),Праздники,0)),TRUNC(H99)-1+$M$1,TRUNC(H99)+MIN(MOD(H99,1),$M$1))-SUMPRODUCT((TRUNC(F99)&lt;Праздники)*(TRUNC(H99)&gt;Праздники))</f>
        <v>41659.501458333332</v>
      </c>
      <c r="K99" s="41">
        <v>504</v>
      </c>
      <c r="L99" s="36">
        <v>190.14972222</v>
      </c>
      <c r="M99" s="37">
        <v>0</v>
      </c>
      <c r="N99" s="37">
        <v>0</v>
      </c>
      <c r="O99" s="22">
        <f t="shared" si="14"/>
        <v>1</v>
      </c>
      <c r="P99" s="29">
        <f t="shared" si="18"/>
        <v>2.6264583333322662</v>
      </c>
      <c r="Q99" s="6">
        <f t="shared" si="15"/>
        <v>12</v>
      </c>
      <c r="R99" s="6">
        <f t="shared" si="16"/>
        <v>13</v>
      </c>
      <c r="S99" s="6">
        <f t="shared" si="17"/>
        <v>53</v>
      </c>
      <c r="T99" s="9">
        <f>IF(O99=1,((NETWORKDAYS(I99,J99,Праздники)-1)*($M$1-$L$1)+MIN(MAX(MOD(J99,1),(WEEKDAY(J99,2)&gt;5)*$M$1,$L$1),$M$1)-MIN(MAX(MOD(I99,1)*(WEEKDAY(I99,2)&lt;6),$L$1),$M$1)),MAX((TRUNC(J99-I99)-(MOD(J99,1)&gt;MOD(I99,1)))*($M$1-$L$1)+($M$1-MOD(I99,1))+(MOD(J99,1)-$L$1),0))</f>
        <v>2.6264583333322662</v>
      </c>
      <c r="U99" s="6"/>
      <c r="V99" s="6"/>
      <c r="W99" s="6"/>
      <c r="X99" s="6"/>
      <c r="Y99" s="6"/>
      <c r="Z99" s="6"/>
      <c r="AA99" s="6"/>
      <c r="AB99" s="6"/>
      <c r="AC99" s="7">
        <f t="shared" si="19"/>
        <v>2.6264583333322662</v>
      </c>
      <c r="AD99" s="8">
        <f t="shared" ref="AD99:AD130" si="20">(H99-F99)-INT(H99-F99)+(NETWORKDAYS(F99,H99)-(NETWORKDAYS(F99,H99)&lt;&gt;0))*($M$1-$L$1)</f>
        <v>3.4229050925932825</v>
      </c>
      <c r="AF99" s="13">
        <f t="shared" ref="AF99:AF130" si="21">(NETWORKDAYS(F99,H99)-1)*($M$1-$L$1)+MIN(MAX(MOD(H99,1),(WEEKDAY(H99,2)&gt;5)*$M$1,$L$1),$M$1)-MIN(MAX(MOD(F99,1)*(WEEKDAY(F99,2)&lt;6),$L$1),$M$1)</f>
        <v>2.6264583333322662</v>
      </c>
    </row>
    <row r="100" spans="1:32" ht="15">
      <c r="A100" s="49" t="s">
        <v>93</v>
      </c>
      <c r="B100" s="50"/>
      <c r="C100" s="50"/>
      <c r="D100" s="51"/>
      <c r="E100" s="4">
        <v>18</v>
      </c>
      <c r="F100" s="12">
        <v>41651.577951388885</v>
      </c>
      <c r="G100" s="12">
        <v>41672.577951388885</v>
      </c>
      <c r="H100" s="12">
        <v>41659.501643518517</v>
      </c>
      <c r="I100" s="58">
        <f>IF(ISNUMBER(MATCH(TRUNC(F100),Праздники,0)),TRUNC(F100)+1+$L$1,TRUNC(F100)+MAX(MOD(F100,1),$L$1))</f>
        <v>41651.577951388885</v>
      </c>
      <c r="J100" s="57">
        <f>IF(ISNUMBER(MATCH(TRUNC(H100),Праздники,0)),TRUNC(H100)-1+$M$1,TRUNC(H100)+MIN(MOD(H100,1),$M$1))-SUMPRODUCT((TRUNC(F100)&lt;Праздники)*(TRUNC(H100)&gt;Праздники))</f>
        <v>41659.501643518517</v>
      </c>
      <c r="K100" s="43">
        <v>504</v>
      </c>
      <c r="L100" s="39">
        <v>190.16861111</v>
      </c>
      <c r="M100" s="40">
        <v>0</v>
      </c>
      <c r="N100" s="40">
        <v>0</v>
      </c>
      <c r="O100" s="22">
        <f t="shared" si="14"/>
        <v>1</v>
      </c>
      <c r="P100" s="29">
        <f t="shared" si="18"/>
        <v>2.6266435185170849</v>
      </c>
      <c r="Q100" s="6">
        <f t="shared" si="15"/>
        <v>12</v>
      </c>
      <c r="R100" s="6">
        <f t="shared" si="16"/>
        <v>13</v>
      </c>
      <c r="S100" s="6">
        <f t="shared" si="17"/>
        <v>52</v>
      </c>
      <c r="T100" s="9">
        <f>IF(O100=1,((NETWORKDAYS(I100,J100,Праздники)-1)*($M$1-$L$1)+MIN(MAX(MOD(J100,1),(WEEKDAY(J100,2)&gt;5)*$M$1,$L$1),$M$1)-MIN(MAX(MOD(I100,1)*(WEEKDAY(I100,2)&lt;6),$L$1),$M$1)),MAX((TRUNC(J100-I100)-(MOD(J100,1)&gt;MOD(I100,1)))*($M$1-$L$1)+($M$1-MOD(I100,1))+(MOD(J100,1)-$L$1),0))</f>
        <v>2.6266435185170849</v>
      </c>
      <c r="U100" s="6"/>
      <c r="V100" s="6"/>
      <c r="W100" s="6"/>
      <c r="X100" s="6"/>
      <c r="Y100" s="6"/>
      <c r="Z100" s="6"/>
      <c r="AA100" s="6"/>
      <c r="AB100" s="6"/>
      <c r="AC100" s="7">
        <f t="shared" si="19"/>
        <v>2.6266435185170849</v>
      </c>
      <c r="AD100" s="8">
        <f t="shared" si="20"/>
        <v>3.4236921296323999</v>
      </c>
      <c r="AF100" s="13">
        <f t="shared" si="21"/>
        <v>2.6266435185170849</v>
      </c>
    </row>
    <row r="101" spans="1:32" ht="15">
      <c r="A101" s="52" t="s">
        <v>94</v>
      </c>
      <c r="B101" s="50"/>
      <c r="C101" s="50"/>
      <c r="D101" s="51"/>
      <c r="E101" s="3">
        <v>18</v>
      </c>
      <c r="F101" s="12">
        <v>41651.577476851853</v>
      </c>
      <c r="G101" s="12">
        <v>41672.577476851853</v>
      </c>
      <c r="H101" s="12">
        <v>41659.501828703702</v>
      </c>
      <c r="I101" s="58">
        <f>IF(ISNUMBER(MATCH(TRUNC(F101),Праздники,0)),TRUNC(F101)+1+$L$1,TRUNC(F101)+MAX(MOD(F101,1),$L$1))</f>
        <v>41651.577476851853</v>
      </c>
      <c r="J101" s="57">
        <f>IF(ISNUMBER(MATCH(TRUNC(H101),Праздники,0)),TRUNC(H101)-1+$M$1,TRUNC(H101)+MIN(MOD(H101,1),$M$1))-SUMPRODUCT((TRUNC(F101)&lt;Праздники)*(TRUNC(H101)&gt;Праздники))</f>
        <v>41659.501828703702</v>
      </c>
      <c r="K101" s="41">
        <v>504</v>
      </c>
      <c r="L101" s="36">
        <v>190.18444443999999</v>
      </c>
      <c r="M101" s="37">
        <v>0</v>
      </c>
      <c r="N101" s="37">
        <v>0</v>
      </c>
      <c r="O101" s="22">
        <f t="shared" si="14"/>
        <v>1</v>
      </c>
      <c r="P101" s="29">
        <f t="shared" si="18"/>
        <v>2.6268287037019036</v>
      </c>
      <c r="Q101" s="6">
        <f t="shared" si="15"/>
        <v>12</v>
      </c>
      <c r="R101" s="6">
        <f t="shared" si="16"/>
        <v>13</v>
      </c>
      <c r="S101" s="6">
        <f t="shared" si="17"/>
        <v>51</v>
      </c>
      <c r="T101" s="9">
        <f>IF(O101=1,((NETWORKDAYS(I101,J101,Праздники)-1)*($M$1-$L$1)+MIN(MAX(MOD(J101,1),(WEEKDAY(J101,2)&gt;5)*$M$1,$L$1),$M$1)-MIN(MAX(MOD(I101,1)*(WEEKDAY(I101,2)&lt;6),$L$1),$M$1)),MAX((TRUNC(J101-I101)-(MOD(J101,1)&gt;MOD(I101,1)))*($M$1-$L$1)+($M$1-MOD(I101,1))+(MOD(J101,1)-$L$1),0))</f>
        <v>2.6268287037019036</v>
      </c>
      <c r="U101" s="6"/>
      <c r="V101" s="6"/>
      <c r="W101" s="6"/>
      <c r="X101" s="6"/>
      <c r="Y101" s="6"/>
      <c r="Z101" s="6"/>
      <c r="AA101" s="6"/>
      <c r="AB101" s="6"/>
      <c r="AC101" s="7">
        <f t="shared" si="19"/>
        <v>2.6268287037019036</v>
      </c>
      <c r="AD101" s="8">
        <f t="shared" si="20"/>
        <v>3.424351851848769</v>
      </c>
      <c r="AF101" s="13">
        <f t="shared" si="21"/>
        <v>2.6268287037019036</v>
      </c>
    </row>
    <row r="102" spans="1:32" ht="15">
      <c r="A102" s="49" t="s">
        <v>95</v>
      </c>
      <c r="B102" s="50"/>
      <c r="C102" s="50"/>
      <c r="D102" s="51"/>
      <c r="E102" s="4">
        <v>18</v>
      </c>
      <c r="F102" s="12">
        <v>41651.573020833333</v>
      </c>
      <c r="G102" s="12">
        <v>41672.573020833333</v>
      </c>
      <c r="H102" s="12">
        <v>41659.502291666664</v>
      </c>
      <c r="I102" s="58">
        <f>IF(ISNUMBER(MATCH(TRUNC(F102),Праздники,0)),TRUNC(F102)+1+$L$1,TRUNC(F102)+MAX(MOD(F102,1),$L$1))</f>
        <v>41651.573020833333</v>
      </c>
      <c r="J102" s="57">
        <f>IF(ISNUMBER(MATCH(TRUNC(H102),Праздники,0)),TRUNC(H102)-1+$M$1,TRUNC(H102)+MIN(MOD(H102,1),$M$1))-SUMPRODUCT((TRUNC(F102)&lt;Праздники)*(TRUNC(H102)&gt;Праздники))</f>
        <v>41659.502291666664</v>
      </c>
      <c r="K102" s="43">
        <v>504</v>
      </c>
      <c r="L102" s="39">
        <v>190.30250000000001</v>
      </c>
      <c r="M102" s="40">
        <v>0</v>
      </c>
      <c r="N102" s="40">
        <v>0</v>
      </c>
      <c r="O102" s="22">
        <f t="shared" si="14"/>
        <v>1</v>
      </c>
      <c r="P102" s="29">
        <f t="shared" si="18"/>
        <v>2.6272916666639503</v>
      </c>
      <c r="Q102" s="6">
        <f t="shared" si="15"/>
        <v>12</v>
      </c>
      <c r="R102" s="6">
        <f t="shared" si="16"/>
        <v>13</v>
      </c>
      <c r="S102" s="6">
        <f t="shared" si="17"/>
        <v>45</v>
      </c>
      <c r="T102" s="9">
        <f>IF(O102=1,((NETWORKDAYS(I102,J102,Праздники)-1)*($M$1-$L$1)+MIN(MAX(MOD(J102,1),(WEEKDAY(J102,2)&gt;5)*$M$1,$L$1),$M$1)-MIN(MAX(MOD(I102,1)*(WEEKDAY(I102,2)&lt;6),$L$1),$M$1)),MAX((TRUNC(J102-I102)-(MOD(J102,1)&gt;MOD(I102,1)))*($M$1-$L$1)+($M$1-MOD(I102,1))+(MOD(J102,1)-$L$1),0))</f>
        <v>2.6272916666639503</v>
      </c>
      <c r="U102" s="6"/>
      <c r="V102" s="6"/>
      <c r="W102" s="6"/>
      <c r="X102" s="6"/>
      <c r="Y102" s="6"/>
      <c r="Z102" s="6"/>
      <c r="AA102" s="6"/>
      <c r="AB102" s="6"/>
      <c r="AC102" s="7">
        <f t="shared" ref="AC102:AC133" si="22">IF(A102&gt;="ТО",((NETWORKDAYS(F102,H102)-1)*($M$1-$L$1)+MIN(MAX(MOD(H102,1),(WEEKDAY(H102,2)&gt;5)*$M$1,$L$1),$M$1)-MIN(MAX(MOD(F102,1)*(WEEKDAY(F102,2)&lt;6),$L$1),$M$1)),(H102-F102)-INT(H102-F102)+(DATEDIF(F102,H102,"d"))*($M$1-$L$1))</f>
        <v>2.6272916666639503</v>
      </c>
      <c r="AD102" s="8">
        <f t="shared" si="20"/>
        <v>3.42927083333052</v>
      </c>
      <c r="AF102" s="13">
        <f t="shared" si="21"/>
        <v>2.6272916666639503</v>
      </c>
    </row>
    <row r="103" spans="1:32" ht="15">
      <c r="A103" s="52" t="s">
        <v>96</v>
      </c>
      <c r="B103" s="50"/>
      <c r="C103" s="50"/>
      <c r="D103" s="51"/>
      <c r="E103" s="3">
        <v>18</v>
      </c>
      <c r="F103" s="12">
        <v>41651.568437499998</v>
      </c>
      <c r="G103" s="12">
        <v>41672.568437499998</v>
      </c>
      <c r="H103" s="12">
        <v>41659.502523148149</v>
      </c>
      <c r="I103" s="58">
        <f>IF(ISNUMBER(MATCH(TRUNC(F103),Праздники,0)),TRUNC(F103)+1+$L$1,TRUNC(F103)+MAX(MOD(F103,1),$L$1))</f>
        <v>41651.568437499998</v>
      </c>
      <c r="J103" s="57">
        <f>IF(ISNUMBER(MATCH(TRUNC(H103),Праздники,0)),TRUNC(H103)-1+$M$1,TRUNC(H103)+MIN(MOD(H103,1),$M$1))-SUMPRODUCT((TRUNC(F103)&lt;Праздники)*(TRUNC(H103)&gt;Праздники))</f>
        <v>41659.502523148149</v>
      </c>
      <c r="K103" s="41">
        <v>504</v>
      </c>
      <c r="L103" s="36">
        <v>190.41805554999999</v>
      </c>
      <c r="M103" s="37">
        <v>0</v>
      </c>
      <c r="N103" s="37">
        <v>0</v>
      </c>
      <c r="O103" s="22">
        <f t="shared" si="14"/>
        <v>1</v>
      </c>
      <c r="P103" s="29">
        <f t="shared" si="18"/>
        <v>2.6275231481486117</v>
      </c>
      <c r="Q103" s="6">
        <f t="shared" si="15"/>
        <v>12</v>
      </c>
      <c r="R103" s="6">
        <f t="shared" si="16"/>
        <v>13</v>
      </c>
      <c r="S103" s="6">
        <f t="shared" si="17"/>
        <v>38</v>
      </c>
      <c r="T103" s="9">
        <f>IF(O103=1,((NETWORKDAYS(I103,J103,Праздники)-1)*($M$1-$L$1)+MIN(MAX(MOD(J103,1),(WEEKDAY(J103,2)&gt;5)*$M$1,$L$1),$M$1)-MIN(MAX(MOD(I103,1)*(WEEKDAY(I103,2)&lt;6),$L$1),$M$1)),MAX((TRUNC(J103-I103)-(MOD(J103,1)&gt;MOD(I103,1)))*($M$1-$L$1)+($M$1-MOD(I103,1))+(MOD(J103,1)-$L$1),0))</f>
        <v>2.6275231481486117</v>
      </c>
      <c r="U103" s="6"/>
      <c r="V103" s="6"/>
      <c r="W103" s="6"/>
      <c r="X103" s="6"/>
      <c r="Y103" s="6"/>
      <c r="Z103" s="6"/>
      <c r="AA103" s="6"/>
      <c r="AB103" s="6"/>
      <c r="AC103" s="7">
        <f t="shared" si="22"/>
        <v>2.6275231481486117</v>
      </c>
      <c r="AD103" s="8">
        <f t="shared" si="20"/>
        <v>3.4340856481503579</v>
      </c>
      <c r="AF103" s="13">
        <f t="shared" si="21"/>
        <v>2.6275231481486117</v>
      </c>
    </row>
    <row r="104" spans="1:32" ht="15">
      <c r="A104" s="49" t="s">
        <v>97</v>
      </c>
      <c r="B104" s="50"/>
      <c r="C104" s="50"/>
      <c r="D104" s="51"/>
      <c r="E104" s="4">
        <v>18</v>
      </c>
      <c r="F104" s="12">
        <v>41651.56795138889</v>
      </c>
      <c r="G104" s="12">
        <v>41672.56795138889</v>
      </c>
      <c r="H104" s="12">
        <v>41659.521956018514</v>
      </c>
      <c r="I104" s="58">
        <f>IF(ISNUMBER(MATCH(TRUNC(F104),Праздники,0)),TRUNC(F104)+1+$L$1,TRUNC(F104)+MAX(MOD(F104,1),$L$1))</f>
        <v>41651.56795138889</v>
      </c>
      <c r="J104" s="57">
        <f>IF(ISNUMBER(MATCH(TRUNC(H104),Праздники,0)),TRUNC(H104)-1+$M$1,TRUNC(H104)+MIN(MOD(H104,1),$M$1))-SUMPRODUCT((TRUNC(F104)&lt;Праздники)*(TRUNC(H104)&gt;Праздники))</f>
        <v>41659.521956018514</v>
      </c>
      <c r="K104" s="43">
        <v>504</v>
      </c>
      <c r="L104" s="39">
        <v>190.89611110999999</v>
      </c>
      <c r="M104" s="40">
        <v>0</v>
      </c>
      <c r="N104" s="40">
        <v>0</v>
      </c>
      <c r="O104" s="22">
        <f t="shared" si="14"/>
        <v>1</v>
      </c>
      <c r="P104" s="29">
        <f t="shared" si="18"/>
        <v>2.6469560185141745</v>
      </c>
      <c r="Q104" s="6">
        <f t="shared" si="15"/>
        <v>12</v>
      </c>
      <c r="R104" s="6">
        <f t="shared" si="16"/>
        <v>13</v>
      </c>
      <c r="S104" s="6">
        <f t="shared" si="17"/>
        <v>37</v>
      </c>
      <c r="T104" s="9">
        <f>IF(O104=1,((NETWORKDAYS(I104,J104,Праздники)-1)*($M$1-$L$1)+MIN(MAX(MOD(J104,1),(WEEKDAY(J104,2)&gt;5)*$M$1,$L$1),$M$1)-MIN(MAX(MOD(I104,1)*(WEEKDAY(I104,2)&lt;6),$L$1),$M$1)),MAX((TRUNC(J104-I104)-(MOD(J104,1)&gt;MOD(I104,1)))*($M$1-$L$1)+($M$1-MOD(I104,1))+(MOD(J104,1)-$L$1),0))</f>
        <v>2.6469560185141745</v>
      </c>
      <c r="U104" s="6"/>
      <c r="V104" s="6"/>
      <c r="W104" s="6"/>
      <c r="X104" s="6"/>
      <c r="Y104" s="6"/>
      <c r="Z104" s="6"/>
      <c r="AA104" s="6"/>
      <c r="AB104" s="6"/>
      <c r="AC104" s="7">
        <f t="shared" si="22"/>
        <v>2.6469560185141745</v>
      </c>
      <c r="AD104" s="8">
        <f t="shared" si="20"/>
        <v>3.4540046296242508</v>
      </c>
      <c r="AF104" s="13">
        <f t="shared" si="21"/>
        <v>2.6469560185141745</v>
      </c>
    </row>
    <row r="105" spans="1:32" ht="15">
      <c r="A105" s="52" t="s">
        <v>98</v>
      </c>
      <c r="B105" s="50"/>
      <c r="C105" s="50"/>
      <c r="D105" s="51"/>
      <c r="E105" s="3">
        <v>18</v>
      </c>
      <c r="F105" s="12">
        <v>41651.566168981481</v>
      </c>
      <c r="G105" s="12">
        <v>41672.566168981481</v>
      </c>
      <c r="H105" s="12">
        <v>41659.522314814814</v>
      </c>
      <c r="I105" s="58">
        <f>IF(ISNUMBER(MATCH(TRUNC(F105),Праздники,0)),TRUNC(F105)+1+$L$1,TRUNC(F105)+MAX(MOD(F105,1),$L$1))</f>
        <v>41651.566168981481</v>
      </c>
      <c r="J105" s="57">
        <f>IF(ISNUMBER(MATCH(TRUNC(H105),Праздники,0)),TRUNC(H105)-1+$M$1,TRUNC(H105)+MIN(MOD(H105,1),$M$1))-SUMPRODUCT((TRUNC(F105)&lt;Праздники)*(TRUNC(H105)&gt;Праздники))</f>
        <v>41659.522314814814</v>
      </c>
      <c r="K105" s="41">
        <v>504</v>
      </c>
      <c r="L105" s="36">
        <v>190.94749999999999</v>
      </c>
      <c r="M105" s="37">
        <v>0</v>
      </c>
      <c r="N105" s="37">
        <v>0</v>
      </c>
      <c r="O105" s="22">
        <f t="shared" si="14"/>
        <v>1</v>
      </c>
      <c r="P105" s="29">
        <f t="shared" si="18"/>
        <v>2.6473148148143082</v>
      </c>
      <c r="Q105" s="6">
        <f t="shared" si="15"/>
        <v>12</v>
      </c>
      <c r="R105" s="6">
        <f t="shared" si="16"/>
        <v>13</v>
      </c>
      <c r="S105" s="6">
        <f t="shared" si="17"/>
        <v>35</v>
      </c>
      <c r="T105" s="9">
        <f>IF(O105=1,((NETWORKDAYS(I105,J105,Праздники)-1)*($M$1-$L$1)+MIN(MAX(MOD(J105,1),(WEEKDAY(J105,2)&gt;5)*$M$1,$L$1),$M$1)-MIN(MAX(MOD(I105,1)*(WEEKDAY(I105,2)&lt;6),$L$1),$M$1)),MAX((TRUNC(J105-I105)-(MOD(J105,1)&gt;MOD(I105,1)))*($M$1-$L$1)+($M$1-MOD(I105,1))+(MOD(J105,1)-$L$1),0))</f>
        <v>2.6473148148143082</v>
      </c>
      <c r="U105" s="6"/>
      <c r="V105" s="6"/>
      <c r="W105" s="6"/>
      <c r="X105" s="6"/>
      <c r="Y105" s="6"/>
      <c r="Z105" s="6"/>
      <c r="AA105" s="6"/>
      <c r="AB105" s="6"/>
      <c r="AC105" s="7">
        <f t="shared" si="22"/>
        <v>2.6473148148143082</v>
      </c>
      <c r="AD105" s="8">
        <f t="shared" si="20"/>
        <v>3.4561458333337214</v>
      </c>
      <c r="AF105" s="13">
        <f t="shared" si="21"/>
        <v>2.6473148148143082</v>
      </c>
    </row>
    <row r="106" spans="1:32" ht="15">
      <c r="A106" s="49" t="s">
        <v>99</v>
      </c>
      <c r="B106" s="50"/>
      <c r="C106" s="50"/>
      <c r="D106" s="51"/>
      <c r="E106" s="4">
        <v>18</v>
      </c>
      <c r="F106" s="12">
        <v>41651.563101851847</v>
      </c>
      <c r="G106" s="12">
        <v>41672.563101851847</v>
      </c>
      <c r="H106" s="12">
        <v>41659.522743055553</v>
      </c>
      <c r="I106" s="58">
        <f>IF(ISNUMBER(MATCH(TRUNC(F106),Праздники,0)),TRUNC(F106)+1+$L$1,TRUNC(F106)+MAX(MOD(F106,1),$L$1))</f>
        <v>41651.563101851847</v>
      </c>
      <c r="J106" s="57">
        <f>IF(ISNUMBER(MATCH(TRUNC(H106),Праздники,0)),TRUNC(H106)-1+$M$1,TRUNC(H106)+MIN(MOD(H106,1),$M$1))-SUMPRODUCT((TRUNC(F106)&lt;Праздники)*(TRUNC(H106)&gt;Праздники))</f>
        <v>41659.522743055553</v>
      </c>
      <c r="K106" s="43">
        <v>504</v>
      </c>
      <c r="L106" s="39">
        <v>191.03138888000001</v>
      </c>
      <c r="M106" s="40">
        <v>0</v>
      </c>
      <c r="N106" s="40">
        <v>0</v>
      </c>
      <c r="O106" s="22">
        <f t="shared" si="14"/>
        <v>1</v>
      </c>
      <c r="P106" s="29">
        <f t="shared" si="18"/>
        <v>2.6477430555532919</v>
      </c>
      <c r="Q106" s="6">
        <f t="shared" si="15"/>
        <v>12</v>
      </c>
      <c r="R106" s="6">
        <f t="shared" si="16"/>
        <v>13</v>
      </c>
      <c r="S106" s="6">
        <f t="shared" si="17"/>
        <v>30</v>
      </c>
      <c r="T106" s="9">
        <f>IF(O106=1,((NETWORKDAYS(I106,J106,Праздники)-1)*($M$1-$L$1)+MIN(MAX(MOD(J106,1),(WEEKDAY(J106,2)&gt;5)*$M$1,$L$1),$M$1)-MIN(MAX(MOD(I106,1)*(WEEKDAY(I106,2)&lt;6),$L$1),$M$1)),MAX((TRUNC(J106-I106)-(MOD(J106,1)&gt;MOD(I106,1)))*($M$1-$L$1)+($M$1-MOD(I106,1))+(MOD(J106,1)-$L$1),0))</f>
        <v>2.6477430555532919</v>
      </c>
      <c r="U106" s="6"/>
      <c r="V106" s="6"/>
      <c r="W106" s="6"/>
      <c r="X106" s="6"/>
      <c r="Y106" s="6"/>
      <c r="Z106" s="6"/>
      <c r="AA106" s="6"/>
      <c r="AB106" s="6"/>
      <c r="AC106" s="7">
        <f t="shared" si="22"/>
        <v>2.6477430555532919</v>
      </c>
      <c r="AD106" s="8">
        <f t="shared" si="20"/>
        <v>3.4596412037062692</v>
      </c>
      <c r="AF106" s="13">
        <f t="shared" si="21"/>
        <v>2.6477430555532919</v>
      </c>
    </row>
    <row r="107" spans="1:32" ht="15">
      <c r="A107" s="52" t="s">
        <v>100</v>
      </c>
      <c r="B107" s="50"/>
      <c r="C107" s="50"/>
      <c r="D107" s="51"/>
      <c r="E107" s="3">
        <v>18</v>
      </c>
      <c r="F107" s="12">
        <v>41651.562615740739</v>
      </c>
      <c r="G107" s="12">
        <v>41672.562615740739</v>
      </c>
      <c r="H107" s="12">
        <v>41659.522951388884</v>
      </c>
      <c r="I107" s="58">
        <f>IF(ISNUMBER(MATCH(TRUNC(F107),Праздники,0)),TRUNC(F107)+1+$L$1,TRUNC(F107)+MAX(MOD(F107,1),$L$1))</f>
        <v>41651.562615740739</v>
      </c>
      <c r="J107" s="57">
        <f>IF(ISNUMBER(MATCH(TRUNC(H107),Праздники,0)),TRUNC(H107)-1+$M$1,TRUNC(H107)+MIN(MOD(H107,1),$M$1))-SUMPRODUCT((TRUNC(F107)&lt;Праздники)*(TRUNC(H107)&gt;Праздники))</f>
        <v>41659.522951388884</v>
      </c>
      <c r="K107" s="41">
        <v>504</v>
      </c>
      <c r="L107" s="36">
        <v>191.04805554999999</v>
      </c>
      <c r="M107" s="37">
        <v>0</v>
      </c>
      <c r="N107" s="37">
        <v>0</v>
      </c>
      <c r="O107" s="22">
        <f t="shared" si="14"/>
        <v>1</v>
      </c>
      <c r="P107" s="29">
        <f t="shared" si="18"/>
        <v>2.647951388884394</v>
      </c>
      <c r="Q107" s="6">
        <f t="shared" si="15"/>
        <v>12</v>
      </c>
      <c r="R107" s="6">
        <f t="shared" si="16"/>
        <v>13</v>
      </c>
      <c r="S107" s="6">
        <f t="shared" si="17"/>
        <v>30</v>
      </c>
      <c r="T107" s="9">
        <f>IF(O107=1,((NETWORKDAYS(I107,J107,Праздники)-1)*($M$1-$L$1)+MIN(MAX(MOD(J107,1),(WEEKDAY(J107,2)&gt;5)*$M$1,$L$1),$M$1)-MIN(MAX(MOD(I107,1)*(WEEKDAY(I107,2)&lt;6),$L$1),$M$1)),MAX((TRUNC(J107-I107)-(MOD(J107,1)&gt;MOD(I107,1)))*($M$1-$L$1)+($M$1-MOD(I107,1))+(MOD(J107,1)-$L$1),0))</f>
        <v>2.647951388884394</v>
      </c>
      <c r="U107" s="6"/>
      <c r="V107" s="6"/>
      <c r="W107" s="6"/>
      <c r="X107" s="6"/>
      <c r="Y107" s="6"/>
      <c r="Z107" s="6"/>
      <c r="AA107" s="6"/>
      <c r="AB107" s="6"/>
      <c r="AC107" s="7">
        <f t="shared" si="22"/>
        <v>2.647951388884394</v>
      </c>
      <c r="AD107" s="8">
        <f t="shared" si="20"/>
        <v>3.4603356481457013</v>
      </c>
      <c r="AF107" s="13">
        <f t="shared" si="21"/>
        <v>2.647951388884394</v>
      </c>
    </row>
    <row r="108" spans="1:32" ht="15">
      <c r="A108" s="49" t="s">
        <v>101</v>
      </c>
      <c r="B108" s="50"/>
      <c r="C108" s="50"/>
      <c r="D108" s="51"/>
      <c r="E108" s="4">
        <v>18</v>
      </c>
      <c r="F108" s="12">
        <v>41651.555671296293</v>
      </c>
      <c r="G108" s="12">
        <v>41672.555671296293</v>
      </c>
      <c r="H108" s="12">
        <v>41659.523194444446</v>
      </c>
      <c r="I108" s="58">
        <f>IF(ISNUMBER(MATCH(TRUNC(F108),Праздники,0)),TRUNC(F108)+1+$L$1,TRUNC(F108)+MAX(MOD(F108,1),$L$1))</f>
        <v>41651.555671296293</v>
      </c>
      <c r="J108" s="57">
        <f>IF(ISNUMBER(MATCH(TRUNC(H108),Праздники,0)),TRUNC(H108)-1+$M$1,TRUNC(H108)+MIN(MOD(H108,1),$M$1))-SUMPRODUCT((TRUNC(F108)&lt;Праздники)*(TRUNC(H108)&gt;Праздники))</f>
        <v>41659.523194444446</v>
      </c>
      <c r="K108" s="43">
        <v>504</v>
      </c>
      <c r="L108" s="39">
        <v>191.22055555</v>
      </c>
      <c r="M108" s="40">
        <v>0</v>
      </c>
      <c r="N108" s="40">
        <v>0</v>
      </c>
      <c r="O108" s="22">
        <f t="shared" si="14"/>
        <v>1</v>
      </c>
      <c r="P108" s="29">
        <f t="shared" si="18"/>
        <v>2.648194444445835</v>
      </c>
      <c r="Q108" s="6">
        <f t="shared" si="15"/>
        <v>12</v>
      </c>
      <c r="R108" s="6">
        <f t="shared" si="16"/>
        <v>13</v>
      </c>
      <c r="S108" s="6">
        <f t="shared" si="17"/>
        <v>20</v>
      </c>
      <c r="T108" s="9">
        <f>IF(O108=1,((NETWORKDAYS(I108,J108,Праздники)-1)*($M$1-$L$1)+MIN(MAX(MOD(J108,1),(WEEKDAY(J108,2)&gt;5)*$M$1,$L$1),$M$1)-MIN(MAX(MOD(I108,1)*(WEEKDAY(I108,2)&lt;6),$L$1),$M$1)),MAX((TRUNC(J108-I108)-(MOD(J108,1)&gt;MOD(I108,1)))*($M$1-$L$1)+($M$1-MOD(I108,1))+(MOD(J108,1)-$L$1),0))</f>
        <v>2.648194444445835</v>
      </c>
      <c r="U108" s="6"/>
      <c r="V108" s="6"/>
      <c r="W108" s="6"/>
      <c r="X108" s="6"/>
      <c r="Y108" s="6"/>
      <c r="Z108" s="6"/>
      <c r="AA108" s="6"/>
      <c r="AB108" s="6"/>
      <c r="AC108" s="7">
        <f t="shared" si="22"/>
        <v>2.648194444445835</v>
      </c>
      <c r="AD108" s="8">
        <f t="shared" si="20"/>
        <v>3.4675231481523952</v>
      </c>
      <c r="AF108" s="13">
        <f t="shared" si="21"/>
        <v>2.648194444445835</v>
      </c>
    </row>
    <row r="109" spans="1:32" ht="15">
      <c r="A109" s="52" t="s">
        <v>151</v>
      </c>
      <c r="B109" s="50"/>
      <c r="C109" s="50"/>
      <c r="D109" s="51"/>
      <c r="E109" s="3">
        <v>18</v>
      </c>
      <c r="F109" s="12">
        <v>41651.517638888887</v>
      </c>
      <c r="G109" s="12">
        <v>41672.517638888887</v>
      </c>
      <c r="H109" s="12">
        <v>41659.523796296293</v>
      </c>
      <c r="I109" s="58">
        <f>IF(ISNUMBER(MATCH(TRUNC(F109),Праздники,0)),TRUNC(F109)+1+$L$1,TRUNC(F109)+MAX(MOD(F109,1),$L$1))</f>
        <v>41651.517638888887</v>
      </c>
      <c r="J109" s="57">
        <f>IF(ISNUMBER(MATCH(TRUNC(H109),Праздники,0)),TRUNC(H109)-1+$M$1,TRUNC(H109)+MIN(MOD(H109,1),$M$1))-SUMPRODUCT((TRUNC(F109)&lt;Праздники)*(TRUNC(H109)&gt;Праздники))</f>
        <v>41659.523796296293</v>
      </c>
      <c r="K109" s="41">
        <v>504</v>
      </c>
      <c r="L109" s="36">
        <v>192.14777777</v>
      </c>
      <c r="M109" s="37">
        <v>0</v>
      </c>
      <c r="N109" s="37">
        <v>0</v>
      </c>
      <c r="O109" s="22">
        <f t="shared" si="14"/>
        <v>1</v>
      </c>
      <c r="P109" s="29">
        <f t="shared" si="18"/>
        <v>2.6487962962928577</v>
      </c>
      <c r="Q109" s="6">
        <f t="shared" si="15"/>
        <v>12</v>
      </c>
      <c r="R109" s="6">
        <f t="shared" si="16"/>
        <v>12</v>
      </c>
      <c r="S109" s="6">
        <f t="shared" si="17"/>
        <v>25</v>
      </c>
      <c r="T109" s="9">
        <f>IF(O109=1,((NETWORKDAYS(I109,J109,Праздники)-1)*($M$1-$L$1)+MIN(MAX(MOD(J109,1),(WEEKDAY(J109,2)&gt;5)*$M$1,$L$1),$M$1)-MIN(MAX(MOD(I109,1)*(WEEKDAY(I109,2)&lt;6),$L$1),$M$1)),MAX((TRUNC(J109-I109)-(MOD(J109,1)&gt;MOD(I109,1)))*($M$1-$L$1)+($M$1-MOD(I109,1))+(MOD(J109,1)-$L$1),0))</f>
        <v>2.6487962962928577</v>
      </c>
      <c r="U109" s="6"/>
      <c r="V109" s="6"/>
      <c r="W109" s="6"/>
      <c r="X109" s="6"/>
      <c r="Y109" s="6"/>
      <c r="Z109" s="6"/>
      <c r="AA109" s="6"/>
      <c r="AB109" s="6"/>
      <c r="AC109" s="7">
        <f t="shared" si="22"/>
        <v>2.6487962962928577</v>
      </c>
      <c r="AD109" s="8">
        <f t="shared" si="20"/>
        <v>2.5061574074061355</v>
      </c>
      <c r="AF109" s="13">
        <f t="shared" si="21"/>
        <v>2.6487962962928577</v>
      </c>
    </row>
    <row r="110" spans="1:32" ht="15">
      <c r="A110" s="49" t="s">
        <v>102</v>
      </c>
      <c r="B110" s="50"/>
      <c r="C110" s="50"/>
      <c r="D110" s="51"/>
      <c r="E110" s="4">
        <v>18</v>
      </c>
      <c r="F110" s="12">
        <v>41651.516122685185</v>
      </c>
      <c r="G110" s="12">
        <v>41672.516122685185</v>
      </c>
      <c r="H110" s="12">
        <v>41659.523969907408</v>
      </c>
      <c r="I110" s="58">
        <f>IF(ISNUMBER(MATCH(TRUNC(F110),Праздники,0)),TRUNC(F110)+1+$L$1,TRUNC(F110)+MAX(MOD(F110,1),$L$1))</f>
        <v>41651.516122685185</v>
      </c>
      <c r="J110" s="57">
        <f>IF(ISNUMBER(MATCH(TRUNC(H110),Праздники,0)),TRUNC(H110)-1+$M$1,TRUNC(H110)+MIN(MOD(H110,1),$M$1))-SUMPRODUCT((TRUNC(F110)&lt;Праздники)*(TRUNC(H110)&gt;Праздники))</f>
        <v>41659.523969907408</v>
      </c>
      <c r="K110" s="43">
        <v>504</v>
      </c>
      <c r="L110" s="39">
        <v>192.18833333000001</v>
      </c>
      <c r="M110" s="40">
        <v>0</v>
      </c>
      <c r="N110" s="40">
        <v>0</v>
      </c>
      <c r="O110" s="22">
        <f t="shared" si="14"/>
        <v>1</v>
      </c>
      <c r="P110" s="29">
        <f t="shared" si="18"/>
        <v>2.6489699074081727</v>
      </c>
      <c r="Q110" s="6">
        <f t="shared" si="15"/>
        <v>12</v>
      </c>
      <c r="R110" s="6">
        <f t="shared" si="16"/>
        <v>12</v>
      </c>
      <c r="S110" s="6">
        <f t="shared" si="17"/>
        <v>23</v>
      </c>
      <c r="T110" s="9">
        <f>IF(O110=1,((NETWORKDAYS(I110,J110,Праздники)-1)*($M$1-$L$1)+MIN(MAX(MOD(J110,1),(WEEKDAY(J110,2)&gt;5)*$M$1,$L$1),$M$1)-MIN(MAX(MOD(I110,1)*(WEEKDAY(I110,2)&lt;6),$L$1),$M$1)),MAX((TRUNC(J110-I110)-(MOD(J110,1)&gt;MOD(I110,1)))*($M$1-$L$1)+($M$1-MOD(I110,1))+(MOD(J110,1)-$L$1),0))</f>
        <v>2.6489699074081727</v>
      </c>
      <c r="U110" s="6"/>
      <c r="V110" s="6"/>
      <c r="W110" s="6"/>
      <c r="X110" s="6"/>
      <c r="Y110" s="6"/>
      <c r="Z110" s="6"/>
      <c r="AA110" s="6"/>
      <c r="AB110" s="6"/>
      <c r="AC110" s="7">
        <f t="shared" si="22"/>
        <v>2.6489699074081727</v>
      </c>
      <c r="AD110" s="8">
        <f t="shared" si="20"/>
        <v>2.507847222223063</v>
      </c>
      <c r="AF110" s="13">
        <f t="shared" si="21"/>
        <v>2.6489699074081727</v>
      </c>
    </row>
    <row r="111" spans="1:32" ht="15">
      <c r="A111" s="52" t="s">
        <v>152</v>
      </c>
      <c r="B111" s="50"/>
      <c r="C111" s="50"/>
      <c r="D111" s="51"/>
      <c r="E111" s="3">
        <v>18</v>
      </c>
      <c r="F111" s="12">
        <v>41651.495011574072</v>
      </c>
      <c r="G111" s="12">
        <v>41672.495011574072</v>
      </c>
      <c r="H111" s="12">
        <v>41659.524849537032</v>
      </c>
      <c r="I111" s="58">
        <f>IF(ISNUMBER(MATCH(TRUNC(F111),Праздники,0)),TRUNC(F111)+1+$L$1,TRUNC(F111)+MAX(MOD(F111,1),$L$1))</f>
        <v>41651.495011574072</v>
      </c>
      <c r="J111" s="57">
        <f>IF(ISNUMBER(MATCH(TRUNC(H111),Праздники,0)),TRUNC(H111)-1+$M$1,TRUNC(H111)+MIN(MOD(H111,1),$M$1))-SUMPRODUCT((TRUNC(F111)&lt;Праздники)*(TRUNC(H111)&gt;Праздники))</f>
        <v>41659.524849537032</v>
      </c>
      <c r="K111" s="41">
        <v>504</v>
      </c>
      <c r="L111" s="36">
        <v>192.71611111000001</v>
      </c>
      <c r="M111" s="37">
        <v>0</v>
      </c>
      <c r="N111" s="37">
        <v>0</v>
      </c>
      <c r="O111" s="22">
        <f t="shared" si="14"/>
        <v>1</v>
      </c>
      <c r="P111" s="29">
        <f t="shared" si="18"/>
        <v>2.6498495370324235</v>
      </c>
      <c r="Q111" s="6">
        <f t="shared" si="15"/>
        <v>12</v>
      </c>
      <c r="R111" s="6">
        <f t="shared" si="16"/>
        <v>11</v>
      </c>
      <c r="S111" s="6">
        <f t="shared" si="17"/>
        <v>52</v>
      </c>
      <c r="T111" s="9">
        <f>IF(O111=1,((NETWORKDAYS(I111,J111,Праздники)-1)*($M$1-$L$1)+MIN(MAX(MOD(J111,1),(WEEKDAY(J111,2)&gt;5)*$M$1,$L$1),$M$1)-MIN(MAX(MOD(I111,1)*(WEEKDAY(I111,2)&lt;6),$L$1),$M$1)),MAX((TRUNC(J111-I111)-(MOD(J111,1)&gt;MOD(I111,1)))*($M$1-$L$1)+($M$1-MOD(I111,1))+(MOD(J111,1)-$L$1),0))</f>
        <v>2.6498495370324235</v>
      </c>
      <c r="U111" s="6"/>
      <c r="V111" s="6"/>
      <c r="W111" s="6"/>
      <c r="X111" s="6"/>
      <c r="Y111" s="6"/>
      <c r="Z111" s="6"/>
      <c r="AA111" s="6"/>
      <c r="AB111" s="6"/>
      <c r="AC111" s="7">
        <f t="shared" si="22"/>
        <v>2.6498495370324235</v>
      </c>
      <c r="AD111" s="8">
        <f t="shared" si="20"/>
        <v>2.5298379629603005</v>
      </c>
      <c r="AF111" s="13">
        <f t="shared" si="21"/>
        <v>2.6498495370324235</v>
      </c>
    </row>
    <row r="112" spans="1:32" ht="15">
      <c r="A112" s="49" t="s">
        <v>103</v>
      </c>
      <c r="B112" s="50"/>
      <c r="C112" s="50"/>
      <c r="D112" s="51"/>
      <c r="E112" s="4">
        <v>18</v>
      </c>
      <c r="F112" s="12">
        <v>41649.361655092594</v>
      </c>
      <c r="G112" s="12">
        <v>41670.361655092594</v>
      </c>
      <c r="H112" s="12">
        <v>41659.718148148146</v>
      </c>
      <c r="I112" s="58">
        <f>IF(ISNUMBER(MATCH(TRUNC(F112),Праздники,0)),TRUNC(F112)+1+$L$1,TRUNC(F112)+MAX(MOD(F112,1),$L$1))</f>
        <v>41649.375</v>
      </c>
      <c r="J112" s="57">
        <f>IF(ISNUMBER(MATCH(TRUNC(H112),Праздники,0)),TRUNC(H112)-1+$M$1,TRUNC(H112)+MIN(MOD(H112,1),$M$1))-SUMPRODUCT((TRUNC(F112)&lt;Праздники)*(TRUNC(H112)&gt;Праздники))</f>
        <v>41659.718148148146</v>
      </c>
      <c r="K112" s="43">
        <v>504</v>
      </c>
      <c r="L112" s="39">
        <v>248.55583333000001</v>
      </c>
      <c r="M112" s="40">
        <v>0</v>
      </c>
      <c r="N112" s="40">
        <v>0</v>
      </c>
      <c r="O112" s="22">
        <f t="shared" si="14"/>
        <v>1</v>
      </c>
      <c r="P112" s="29">
        <f t="shared" si="18"/>
        <v>3.3431481481457013</v>
      </c>
      <c r="Q112" s="6">
        <f t="shared" si="15"/>
        <v>10</v>
      </c>
      <c r="R112" s="6">
        <f t="shared" si="16"/>
        <v>8</v>
      </c>
      <c r="S112" s="6">
        <f t="shared" si="17"/>
        <v>40</v>
      </c>
      <c r="T112" s="9">
        <f>IF(O112=1,((NETWORKDAYS(I112,J112,Праздники)-1)*($M$1-$L$1)+MIN(MAX(MOD(J112,1),(WEEKDAY(J112,2)&gt;5)*$M$1,$L$1),$M$1)-MIN(MAX(MOD(I112,1)*(WEEKDAY(I112,2)&lt;6),$L$1),$M$1)),MAX((TRUNC(J112-I112)-(MOD(J112,1)&gt;MOD(I112,1)))*($M$1-$L$1)+($M$1-MOD(I112,1))+(MOD(J112,1)-$L$1),0))</f>
        <v>3.3431481481457013</v>
      </c>
      <c r="U112" s="6"/>
      <c r="V112" s="6"/>
      <c r="W112" s="6"/>
      <c r="X112" s="6"/>
      <c r="Y112" s="6"/>
      <c r="Z112" s="6"/>
      <c r="AA112" s="6"/>
      <c r="AB112" s="6"/>
      <c r="AC112" s="7">
        <f t="shared" si="22"/>
        <v>3.3431481481457013</v>
      </c>
      <c r="AD112" s="8">
        <f t="shared" si="20"/>
        <v>3.3564930555512547</v>
      </c>
      <c r="AF112" s="13">
        <f t="shared" si="21"/>
        <v>3.3431481481457013</v>
      </c>
    </row>
    <row r="113" spans="1:32" ht="15">
      <c r="A113" s="52" t="s">
        <v>104</v>
      </c>
      <c r="B113" s="50"/>
      <c r="C113" s="50"/>
      <c r="D113" s="51"/>
      <c r="E113" s="3">
        <v>18</v>
      </c>
      <c r="F113" s="12">
        <v>41649.377395833333</v>
      </c>
      <c r="G113" s="12">
        <v>41670.377395833333</v>
      </c>
      <c r="H113" s="12">
        <v>41659.719282407408</v>
      </c>
      <c r="I113" s="58">
        <f>IF(ISNUMBER(MATCH(TRUNC(F113),Праздники,0)),TRUNC(F113)+1+$L$1,TRUNC(F113)+MAX(MOD(F113,1),$L$1))</f>
        <v>41649.377395833333</v>
      </c>
      <c r="J113" s="57">
        <f>IF(ISNUMBER(MATCH(TRUNC(H113),Праздники,0)),TRUNC(H113)-1+$M$1,TRUNC(H113)+MIN(MOD(H113,1),$M$1))-SUMPRODUCT((TRUNC(F113)&lt;Праздники)*(TRUNC(H113)&gt;Праздники))</f>
        <v>41659.719282407408</v>
      </c>
      <c r="K113" s="41">
        <v>504</v>
      </c>
      <c r="L113" s="36">
        <v>248.20527777000001</v>
      </c>
      <c r="M113" s="37">
        <v>0</v>
      </c>
      <c r="N113" s="37">
        <v>0</v>
      </c>
      <c r="O113" s="22">
        <f t="shared" si="14"/>
        <v>1</v>
      </c>
      <c r="P113" s="29">
        <f t="shared" si="18"/>
        <v>3.3418865740750334</v>
      </c>
      <c r="Q113" s="6">
        <f t="shared" si="15"/>
        <v>10</v>
      </c>
      <c r="R113" s="6">
        <f t="shared" si="16"/>
        <v>9</v>
      </c>
      <c r="S113" s="6">
        <f t="shared" si="17"/>
        <v>3</v>
      </c>
      <c r="T113" s="9">
        <f>IF(O113=1,((NETWORKDAYS(I113,J113,Праздники)-1)*($M$1-$L$1)+MIN(MAX(MOD(J113,1),(WEEKDAY(J113,2)&gt;5)*$M$1,$L$1),$M$1)-MIN(MAX(MOD(I113,1)*(WEEKDAY(I113,2)&lt;6),$L$1),$M$1)),MAX((TRUNC(J113-I113)-(MOD(J113,1)&gt;MOD(I113,1)))*($M$1-$L$1)+($M$1-MOD(I113,1))+(MOD(J113,1)-$L$1),0))</f>
        <v>3.3418865740750334</v>
      </c>
      <c r="U113" s="6"/>
      <c r="V113" s="6"/>
      <c r="W113" s="6"/>
      <c r="X113" s="6"/>
      <c r="Y113" s="6"/>
      <c r="Z113" s="6"/>
      <c r="AA113" s="6"/>
      <c r="AB113" s="6"/>
      <c r="AC113" s="7">
        <f t="shared" si="22"/>
        <v>3.3418865740750334</v>
      </c>
      <c r="AD113" s="8">
        <f t="shared" si="20"/>
        <v>3.3418865740750334</v>
      </c>
      <c r="AF113" s="13">
        <f t="shared" si="21"/>
        <v>3.3418865740750334</v>
      </c>
    </row>
    <row r="114" spans="1:32" ht="15">
      <c r="A114" s="49" t="s">
        <v>105</v>
      </c>
      <c r="B114" s="50"/>
      <c r="C114" s="50"/>
      <c r="D114" s="51"/>
      <c r="E114" s="4">
        <v>18</v>
      </c>
      <c r="F114" s="12">
        <v>41649.521736111106</v>
      </c>
      <c r="G114" s="12">
        <v>41670.521736111106</v>
      </c>
      <c r="H114" s="12">
        <v>41659.728414351848</v>
      </c>
      <c r="I114" s="58">
        <f>IF(ISNUMBER(MATCH(TRUNC(F114),Праздники,0)),TRUNC(F114)+1+$L$1,TRUNC(F114)+MAX(MOD(F114,1),$L$1))</f>
        <v>41649.521736111106</v>
      </c>
      <c r="J114" s="57">
        <f>IF(ISNUMBER(MATCH(TRUNC(H114),Праздники,0)),TRUNC(H114)-1+$M$1,TRUNC(H114)+MIN(MOD(H114,1),$M$1))-SUMPRODUCT((TRUNC(F114)&lt;Праздники)*(TRUNC(H114)&gt;Праздники))</f>
        <v>41659.728414351848</v>
      </c>
      <c r="K114" s="43">
        <v>504</v>
      </c>
      <c r="L114" s="39">
        <v>244.96027777</v>
      </c>
      <c r="M114" s="40">
        <v>0</v>
      </c>
      <c r="N114" s="40">
        <v>0</v>
      </c>
      <c r="O114" s="22">
        <f t="shared" si="14"/>
        <v>1</v>
      </c>
      <c r="P114" s="29">
        <f t="shared" si="18"/>
        <v>3.2066782407418941</v>
      </c>
      <c r="Q114" s="6">
        <f t="shared" si="15"/>
        <v>10</v>
      </c>
      <c r="R114" s="6">
        <f t="shared" si="16"/>
        <v>12</v>
      </c>
      <c r="S114" s="6">
        <f t="shared" si="17"/>
        <v>31</v>
      </c>
      <c r="T114" s="9">
        <f>IF(O114=1,((NETWORKDAYS(I114,J114,Праздники)-1)*($M$1-$L$1)+MIN(MAX(MOD(J114,1),(WEEKDAY(J114,2)&gt;5)*$M$1,$L$1),$M$1)-MIN(MAX(MOD(I114,1)*(WEEKDAY(I114,2)&lt;6),$L$1),$M$1)),MAX((TRUNC(J114-I114)-(MOD(J114,1)&gt;MOD(I114,1)))*($M$1-$L$1)+($M$1-MOD(I114,1))+(MOD(J114,1)-$L$1),0))</f>
        <v>3.2066782407418941</v>
      </c>
      <c r="U114" s="6"/>
      <c r="V114" s="6"/>
      <c r="W114" s="6"/>
      <c r="X114" s="6"/>
      <c r="Y114" s="6"/>
      <c r="Z114" s="6"/>
      <c r="AA114" s="6"/>
      <c r="AB114" s="6"/>
      <c r="AC114" s="7">
        <f t="shared" si="22"/>
        <v>3.2066782407418941</v>
      </c>
      <c r="AD114" s="8">
        <f t="shared" si="20"/>
        <v>3.2066782407418941</v>
      </c>
      <c r="AF114" s="13">
        <f t="shared" si="21"/>
        <v>3.2066782407418941</v>
      </c>
    </row>
    <row r="115" spans="1:32" ht="15">
      <c r="A115" s="52" t="s">
        <v>22</v>
      </c>
      <c r="B115" s="50"/>
      <c r="C115" s="50"/>
      <c r="D115" s="51"/>
      <c r="E115" s="3">
        <v>34</v>
      </c>
      <c r="F115" s="12">
        <v>41660.322430555556</v>
      </c>
      <c r="G115" s="12">
        <v>41661.48909722222</v>
      </c>
      <c r="H115" s="12">
        <v>41660.418182870366</v>
      </c>
      <c r="I115" s="58">
        <f>IF(ISNUMBER(MATCH(TRUNC(F115),Праздники,0)),TRUNC(F115)+1+$L$1,TRUNC(F115)+MAX(MOD(F115,1),$L$1))</f>
        <v>41660.375</v>
      </c>
      <c r="J115" s="57">
        <f>IF(ISNUMBER(MATCH(TRUNC(H115),Праздники,0)),TRUNC(H115)-1+$M$1,TRUNC(H115)+MIN(MOD(H115,1),$M$1))-SUMPRODUCT((TRUNC(F115)&lt;Праздники)*(TRUNC(H115)&gt;Праздники))</f>
        <v>41660.418182870366</v>
      </c>
      <c r="K115" s="41">
        <v>16</v>
      </c>
      <c r="L115" s="36">
        <v>2.2980555499999999</v>
      </c>
      <c r="M115" s="37">
        <v>0</v>
      </c>
      <c r="N115" s="37">
        <v>0</v>
      </c>
      <c r="O115" s="22">
        <f t="shared" si="14"/>
        <v>0</v>
      </c>
      <c r="P115" s="29">
        <f t="shared" si="18"/>
        <v>9.5752314809942618E-2</v>
      </c>
      <c r="Q115" s="6">
        <f t="shared" si="15"/>
        <v>21</v>
      </c>
      <c r="R115" s="6">
        <f t="shared" si="16"/>
        <v>7</v>
      </c>
      <c r="S115" s="6">
        <f t="shared" si="17"/>
        <v>44</v>
      </c>
      <c r="T115" s="9">
        <f>IF(O115=1,((NETWORKDAYS(I115,J115,Праздники)-1)*($M$1-$L$1)+MIN(MAX(MOD(J115,1),(WEEKDAY(J115,2)&gt;5)*$M$1,$L$1),$M$1)-MIN(MAX(MOD(I115,1)*(WEEKDAY(I115,2)&lt;6),$L$1),$M$1)),MAX((TRUNC(J115-I115)-(MOD(J115,1)&gt;MOD(I115,1)))*($M$1-$L$1)+($M$1-MOD(I115,1))+(MOD(J115,1)-$L$1),0))</f>
        <v>4.3182870365853887E-2</v>
      </c>
      <c r="U115" s="6"/>
      <c r="V115" s="6"/>
      <c r="W115" s="6"/>
      <c r="X115" s="6"/>
      <c r="Y115" s="6"/>
      <c r="Z115" s="6"/>
      <c r="AA115" s="6"/>
      <c r="AB115" s="6"/>
      <c r="AC115" s="7">
        <f t="shared" si="22"/>
        <v>9.5752314809942618E-2</v>
      </c>
      <c r="AD115" s="8">
        <f t="shared" si="20"/>
        <v>9.5752314809942618E-2</v>
      </c>
      <c r="AF115" s="13">
        <f t="shared" si="21"/>
        <v>4.3182870365853887E-2</v>
      </c>
    </row>
    <row r="116" spans="1:32" ht="15">
      <c r="A116" s="49" t="s">
        <v>23</v>
      </c>
      <c r="B116" s="50"/>
      <c r="C116" s="50"/>
      <c r="D116" s="51"/>
      <c r="E116" s="4">
        <v>34</v>
      </c>
      <c r="F116" s="12">
        <v>41659.581944444442</v>
      </c>
      <c r="G116" s="12">
        <v>41660.748611111107</v>
      </c>
      <c r="H116" s="12">
        <v>41660.442731481482</v>
      </c>
      <c r="I116" s="58">
        <f>IF(ISNUMBER(MATCH(TRUNC(F116),Праздники,0)),TRUNC(F116)+1+$L$1,TRUNC(F116)+MAX(MOD(F116,1),$L$1))</f>
        <v>41659.581944444442</v>
      </c>
      <c r="J116" s="57">
        <f>IF(ISNUMBER(MATCH(TRUNC(H116),Праздники,0)),TRUNC(H116)-1+$M$1,TRUNC(H116)+MIN(MOD(H116,1),$M$1))-SUMPRODUCT((TRUNC(F116)&lt;Праздники)*(TRUNC(H116)&gt;Праздники))</f>
        <v>41660.442731481482</v>
      </c>
      <c r="K116" s="43">
        <v>16</v>
      </c>
      <c r="L116" s="39">
        <v>8.6588888799999992</v>
      </c>
      <c r="M116" s="40">
        <v>0</v>
      </c>
      <c r="N116" s="40">
        <v>0</v>
      </c>
      <c r="O116" s="22">
        <f t="shared" si="14"/>
        <v>0</v>
      </c>
      <c r="P116" s="29">
        <f t="shared" si="18"/>
        <v>1.3607870370396995</v>
      </c>
      <c r="Q116" s="6">
        <f t="shared" si="15"/>
        <v>20</v>
      </c>
      <c r="R116" s="6">
        <f t="shared" si="16"/>
        <v>13</v>
      </c>
      <c r="S116" s="6">
        <f t="shared" si="17"/>
        <v>58</v>
      </c>
      <c r="T116" s="9">
        <f>IF(O116=1,((NETWORKDAYS(I116,J116,Праздники)-1)*($M$1-$L$1)+MIN(MAX(MOD(J116,1),(WEEKDAY(J116,2)&gt;5)*$M$1,$L$1),$M$1)-MIN(MAX(MOD(I116,1)*(WEEKDAY(I116,2)&lt;6),$L$1),$M$1)),MAX((TRUNC(J116-I116)-(MOD(J116,1)&gt;MOD(I116,1)))*($M$1-$L$1)+($M$1-MOD(I116,1))+(MOD(J116,1)-$L$1),0))</f>
        <v>0.3607870370396995</v>
      </c>
      <c r="U116" s="6"/>
      <c r="V116" s="6"/>
      <c r="W116" s="6"/>
      <c r="X116" s="6"/>
      <c r="Y116" s="6"/>
      <c r="Z116" s="6"/>
      <c r="AA116" s="6"/>
      <c r="AB116" s="6"/>
      <c r="AC116" s="7">
        <f t="shared" si="22"/>
        <v>1.3607870370396995</v>
      </c>
      <c r="AD116" s="8">
        <f t="shared" si="20"/>
        <v>1.3607870370396995</v>
      </c>
      <c r="AF116" s="13">
        <f t="shared" si="21"/>
        <v>0.3607870370396995</v>
      </c>
    </row>
    <row r="117" spans="1:32" ht="15">
      <c r="A117" s="52" t="s">
        <v>153</v>
      </c>
      <c r="B117" s="50"/>
      <c r="C117" s="50"/>
      <c r="D117" s="51"/>
      <c r="E117" s="3">
        <v>34</v>
      </c>
      <c r="F117" s="12">
        <v>41660.050057870372</v>
      </c>
      <c r="G117" s="12">
        <v>41661.479166666664</v>
      </c>
      <c r="H117" s="12">
        <v>41660.517824074072</v>
      </c>
      <c r="I117" s="58">
        <f>IF(ISNUMBER(MATCH(TRUNC(F117),Праздники,0)),TRUNC(F117)+1+$L$1,TRUNC(F117)+MAX(MOD(F117,1),$L$1))</f>
        <v>41660.375</v>
      </c>
      <c r="J117" s="57">
        <f>IF(ISNUMBER(MATCH(TRUNC(H117),Праздники,0)),TRUNC(H117)-1+$M$1,TRUNC(H117)+MIN(MOD(H117,1),$M$1))-SUMPRODUCT((TRUNC(F117)&lt;Праздники)*(TRUNC(H117)&gt;Праздники))</f>
        <v>41660.517824074072</v>
      </c>
      <c r="K117" s="41">
        <v>16</v>
      </c>
      <c r="L117" s="36">
        <v>4.9277777699999996</v>
      </c>
      <c r="M117" s="37">
        <v>0</v>
      </c>
      <c r="N117" s="37">
        <v>0</v>
      </c>
      <c r="O117" s="22">
        <f t="shared" si="14"/>
        <v>0</v>
      </c>
      <c r="P117" s="29">
        <f t="shared" si="18"/>
        <v>0.46776620369928423</v>
      </c>
      <c r="Q117" s="6">
        <f t="shared" si="15"/>
        <v>21</v>
      </c>
      <c r="R117" s="6">
        <f t="shared" si="16"/>
        <v>1</v>
      </c>
      <c r="S117" s="6">
        <f t="shared" si="17"/>
        <v>12</v>
      </c>
      <c r="T117" s="9">
        <f>IF(O117=1,((NETWORKDAYS(I117,J117,Праздники)-1)*($M$1-$L$1)+MIN(MAX(MOD(J117,1),(WEEKDAY(J117,2)&gt;5)*$M$1,$L$1),$M$1)-MIN(MAX(MOD(I117,1)*(WEEKDAY(I117,2)&lt;6),$L$1),$M$1)),MAX((TRUNC(J117-I117)-(MOD(J117,1)&gt;MOD(I117,1)))*($M$1-$L$1)+($M$1-MOD(I117,1))+(MOD(J117,1)-$L$1),0))</f>
        <v>0.14282407407154096</v>
      </c>
      <c r="U117" s="6"/>
      <c r="V117" s="6"/>
      <c r="W117" s="6"/>
      <c r="X117" s="6"/>
      <c r="Y117" s="6"/>
      <c r="Z117" s="6"/>
      <c r="AA117" s="6"/>
      <c r="AB117" s="6"/>
      <c r="AC117" s="7">
        <f t="shared" si="22"/>
        <v>0.46776620369928423</v>
      </c>
      <c r="AD117" s="8">
        <f t="shared" si="20"/>
        <v>0.46776620369928423</v>
      </c>
      <c r="AF117" s="13">
        <f t="shared" si="21"/>
        <v>0.14282407407154096</v>
      </c>
    </row>
    <row r="118" spans="1:32" ht="15">
      <c r="A118" s="49" t="s">
        <v>106</v>
      </c>
      <c r="B118" s="50"/>
      <c r="C118" s="50"/>
      <c r="D118" s="51"/>
      <c r="E118" s="4">
        <v>18</v>
      </c>
      <c r="F118" s="12">
        <v>41650.821979166663</v>
      </c>
      <c r="G118" s="12">
        <v>41671.821979166663</v>
      </c>
      <c r="H118" s="12">
        <v>41661.328159722223</v>
      </c>
      <c r="I118" s="58">
        <f>IF(ISNUMBER(MATCH(TRUNC(F118),Праздники,0)),TRUNC(F118)+1+$L$1,TRUNC(F118)+MAX(MOD(F118,1),$L$1))</f>
        <v>41650.821979166663</v>
      </c>
      <c r="J118" s="57">
        <f>IF(ISNUMBER(MATCH(TRUNC(H118),Праздники,0)),TRUNC(H118)-1+$M$1,TRUNC(H118)+MIN(MOD(H118,1),$M$1))-SUMPRODUCT((TRUNC(F118)&lt;Праздники)*(TRUNC(H118)&gt;Праздники))</f>
        <v>41661.328159722223</v>
      </c>
      <c r="K118" s="43">
        <v>504</v>
      </c>
      <c r="L118" s="39">
        <v>252.14833333000001</v>
      </c>
      <c r="M118" s="40">
        <v>0</v>
      </c>
      <c r="N118" s="40">
        <v>0</v>
      </c>
      <c r="O118" s="22">
        <f t="shared" si="14"/>
        <v>1</v>
      </c>
      <c r="P118" s="29">
        <f t="shared" si="18"/>
        <v>3.5</v>
      </c>
      <c r="Q118" s="6">
        <f t="shared" si="15"/>
        <v>11</v>
      </c>
      <c r="R118" s="6">
        <f t="shared" si="16"/>
        <v>19</v>
      </c>
      <c r="S118" s="6">
        <f t="shared" si="17"/>
        <v>43</v>
      </c>
      <c r="T118" s="9">
        <f>IF(O118=1,((NETWORKDAYS(I118,J118,Праздники)-1)*($M$1-$L$1)+MIN(MAX(MOD(J118,1),(WEEKDAY(J118,2)&gt;5)*$M$1,$L$1),$M$1)-MIN(MAX(MOD(I118,1)*(WEEKDAY(I118,2)&lt;6),$L$1),$M$1)),MAX((TRUNC(J118-I118)-(MOD(J118,1)&gt;MOD(I118,1)))*($M$1-$L$1)+($M$1-MOD(I118,1))+(MOD(J118,1)-$L$1),0))</f>
        <v>3.5</v>
      </c>
      <c r="U118" s="6"/>
      <c r="V118" s="6"/>
      <c r="W118" s="6"/>
      <c r="X118" s="6"/>
      <c r="Y118" s="6"/>
      <c r="Z118" s="6"/>
      <c r="AA118" s="6"/>
      <c r="AB118" s="6"/>
      <c r="AC118" s="7">
        <f t="shared" si="22"/>
        <v>3.5</v>
      </c>
      <c r="AD118" s="8">
        <f t="shared" si="20"/>
        <v>4.0061805555596948</v>
      </c>
      <c r="AF118" s="13">
        <f t="shared" si="21"/>
        <v>3.5</v>
      </c>
    </row>
    <row r="119" spans="1:32" ht="15">
      <c r="A119" s="52" t="s">
        <v>107</v>
      </c>
      <c r="B119" s="50"/>
      <c r="C119" s="50"/>
      <c r="D119" s="51"/>
      <c r="E119" s="3">
        <v>18</v>
      </c>
      <c r="F119" s="12">
        <v>41649.522557870368</v>
      </c>
      <c r="G119" s="12">
        <v>41670.522557870368</v>
      </c>
      <c r="H119" s="12">
        <v>41661.61278935185</v>
      </c>
      <c r="I119" s="58">
        <f>IF(ISNUMBER(MATCH(TRUNC(F119),Праздники,0)),TRUNC(F119)+1+$L$1,TRUNC(F119)+MAX(MOD(F119,1),$L$1))</f>
        <v>41649.522557870368</v>
      </c>
      <c r="J119" s="57">
        <f>IF(ISNUMBER(MATCH(TRUNC(H119),Праздники,0)),TRUNC(H119)-1+$M$1,TRUNC(H119)+MIN(MOD(H119,1),$M$1))-SUMPRODUCT((TRUNC(F119)&lt;Праздники)*(TRUNC(H119)&gt;Праздники))</f>
        <v>41661.61278935185</v>
      </c>
      <c r="K119" s="41">
        <v>504</v>
      </c>
      <c r="L119" s="36">
        <v>290.16555555000002</v>
      </c>
      <c r="M119" s="37">
        <v>0</v>
      </c>
      <c r="N119" s="37">
        <v>0</v>
      </c>
      <c r="O119" s="22">
        <f t="shared" si="14"/>
        <v>1</v>
      </c>
      <c r="P119" s="29">
        <f t="shared" si="18"/>
        <v>4.0902314814811689</v>
      </c>
      <c r="Q119" s="6">
        <f t="shared" si="15"/>
        <v>10</v>
      </c>
      <c r="R119" s="6">
        <f t="shared" si="16"/>
        <v>12</v>
      </c>
      <c r="S119" s="6">
        <f t="shared" si="17"/>
        <v>32</v>
      </c>
      <c r="T119" s="9">
        <f>IF(O119=1,((NETWORKDAYS(I119,J119,Праздники)-1)*($M$1-$L$1)+MIN(MAX(MOD(J119,1),(WEEKDAY(J119,2)&gt;5)*$M$1,$L$1),$M$1)-MIN(MAX(MOD(I119,1)*(WEEKDAY(I119,2)&lt;6),$L$1),$M$1)),MAX((TRUNC(J119-I119)-(MOD(J119,1)&gt;MOD(I119,1)))*($M$1-$L$1)+($M$1-MOD(I119,1))+(MOD(J119,1)-$L$1),0))</f>
        <v>4.0902314814811689</v>
      </c>
      <c r="U119" s="6"/>
      <c r="V119" s="6"/>
      <c r="W119" s="6"/>
      <c r="X119" s="6"/>
      <c r="Y119" s="6"/>
      <c r="Z119" s="6"/>
      <c r="AA119" s="6"/>
      <c r="AB119" s="6"/>
      <c r="AC119" s="7">
        <f t="shared" si="22"/>
        <v>4.0902314814811689</v>
      </c>
      <c r="AD119" s="8">
        <f t="shared" si="20"/>
        <v>4.0902314814811689</v>
      </c>
      <c r="AF119" s="13">
        <f t="shared" si="21"/>
        <v>4.0902314814811689</v>
      </c>
    </row>
    <row r="120" spans="1:32" ht="15">
      <c r="A120" s="49" t="s">
        <v>108</v>
      </c>
      <c r="B120" s="50"/>
      <c r="C120" s="50"/>
      <c r="D120" s="51"/>
      <c r="E120" s="4">
        <v>18</v>
      </c>
      <c r="F120" s="12">
        <v>41649.520636574074</v>
      </c>
      <c r="G120" s="12">
        <v>41670.520636574074</v>
      </c>
      <c r="H120" s="12">
        <v>41661.613518518519</v>
      </c>
      <c r="I120" s="58">
        <f>IF(ISNUMBER(MATCH(TRUNC(F120),Праздники,0)),TRUNC(F120)+1+$L$1,TRUNC(F120)+MAX(MOD(F120,1),$L$1))</f>
        <v>41649.520636574074</v>
      </c>
      <c r="J120" s="57">
        <f>IF(ISNUMBER(MATCH(TRUNC(H120),Праздники,0)),TRUNC(H120)-1+$M$1,TRUNC(H120)+MIN(MOD(H120,1),$M$1))-SUMPRODUCT((TRUNC(F120)&lt;Праздники)*(TRUNC(H120)&gt;Праздники))</f>
        <v>41661.613518518519</v>
      </c>
      <c r="K120" s="43">
        <v>504</v>
      </c>
      <c r="L120" s="39">
        <v>290.22916665999998</v>
      </c>
      <c r="M120" s="40">
        <v>0</v>
      </c>
      <c r="N120" s="40">
        <v>0</v>
      </c>
      <c r="O120" s="22">
        <f t="shared" si="14"/>
        <v>1</v>
      </c>
      <c r="P120" s="29">
        <f t="shared" si="18"/>
        <v>4.0928819444452529</v>
      </c>
      <c r="Q120" s="6">
        <f t="shared" si="15"/>
        <v>10</v>
      </c>
      <c r="R120" s="6">
        <f t="shared" si="16"/>
        <v>12</v>
      </c>
      <c r="S120" s="6">
        <f t="shared" si="17"/>
        <v>29</v>
      </c>
      <c r="T120" s="9">
        <f>IF(O120=1,((NETWORKDAYS(I120,J120,Праздники)-1)*($M$1-$L$1)+MIN(MAX(MOD(J120,1),(WEEKDAY(J120,2)&gt;5)*$M$1,$L$1),$M$1)-MIN(MAX(MOD(I120,1)*(WEEKDAY(I120,2)&lt;6),$L$1),$M$1)),MAX((TRUNC(J120-I120)-(MOD(J120,1)&gt;MOD(I120,1)))*($M$1-$L$1)+($M$1-MOD(I120,1))+(MOD(J120,1)-$L$1),0))</f>
        <v>4.0928819444452529</v>
      </c>
      <c r="U120" s="6"/>
      <c r="V120" s="6"/>
      <c r="W120" s="6"/>
      <c r="X120" s="6"/>
      <c r="Y120" s="6"/>
      <c r="Z120" s="6"/>
      <c r="AA120" s="6"/>
      <c r="AB120" s="6"/>
      <c r="AC120" s="7">
        <f t="shared" si="22"/>
        <v>4.0928819444452529</v>
      </c>
      <c r="AD120" s="8">
        <f t="shared" si="20"/>
        <v>4.0928819444452529</v>
      </c>
      <c r="AF120" s="13">
        <f t="shared" si="21"/>
        <v>4.0928819444452529</v>
      </c>
    </row>
    <row r="121" spans="1:32" ht="15">
      <c r="A121" s="52" t="s">
        <v>109</v>
      </c>
      <c r="B121" s="50"/>
      <c r="C121" s="50"/>
      <c r="D121" s="51"/>
      <c r="E121" s="3">
        <v>18</v>
      </c>
      <c r="F121" s="12">
        <v>41649.409583333334</v>
      </c>
      <c r="G121" s="12">
        <v>41670.409583333334</v>
      </c>
      <c r="H121" s="12">
        <v>41661.614120370366</v>
      </c>
      <c r="I121" s="58">
        <f>IF(ISNUMBER(MATCH(TRUNC(F121),Праздники,0)),TRUNC(F121)+1+$L$1,TRUNC(F121)+MAX(MOD(F121,1),$L$1))</f>
        <v>41649.409583333334</v>
      </c>
      <c r="J121" s="57">
        <f>IF(ISNUMBER(MATCH(TRUNC(H121),Праздники,0)),TRUNC(H121)-1+$M$1,TRUNC(H121)+MIN(MOD(H121,1),$M$1))-SUMPRODUCT((TRUNC(F121)&lt;Праздники)*(TRUNC(H121)&gt;Праздники))</f>
        <v>41661.614120370366</v>
      </c>
      <c r="K121" s="41">
        <v>504</v>
      </c>
      <c r="L121" s="36">
        <v>292.90888888000001</v>
      </c>
      <c r="M121" s="37">
        <v>0</v>
      </c>
      <c r="N121" s="37">
        <v>0</v>
      </c>
      <c r="O121" s="22">
        <f t="shared" si="14"/>
        <v>1</v>
      </c>
      <c r="P121" s="29">
        <f t="shared" si="18"/>
        <v>4.2045370370324235</v>
      </c>
      <c r="Q121" s="6">
        <f t="shared" si="15"/>
        <v>10</v>
      </c>
      <c r="R121" s="6">
        <f t="shared" si="16"/>
        <v>9</v>
      </c>
      <c r="S121" s="6">
        <f t="shared" si="17"/>
        <v>49</v>
      </c>
      <c r="T121" s="9">
        <f>IF(O121=1,((NETWORKDAYS(I121,J121,Праздники)-1)*($M$1-$L$1)+MIN(MAX(MOD(J121,1),(WEEKDAY(J121,2)&gt;5)*$M$1,$L$1),$M$1)-MIN(MAX(MOD(I121,1)*(WEEKDAY(I121,2)&lt;6),$L$1),$M$1)),MAX((TRUNC(J121-I121)-(MOD(J121,1)&gt;MOD(I121,1)))*($M$1-$L$1)+($M$1-MOD(I121,1))+(MOD(J121,1)-$L$1),0))</f>
        <v>4.2045370370324235</v>
      </c>
      <c r="U121" s="6"/>
      <c r="V121" s="6"/>
      <c r="W121" s="6"/>
      <c r="X121" s="6"/>
      <c r="Y121" s="6"/>
      <c r="Z121" s="6"/>
      <c r="AA121" s="6"/>
      <c r="AB121" s="6"/>
      <c r="AC121" s="7">
        <f t="shared" si="22"/>
        <v>4.2045370370324235</v>
      </c>
      <c r="AD121" s="8">
        <f t="shared" si="20"/>
        <v>4.2045370370324235</v>
      </c>
      <c r="AF121" s="13">
        <f t="shared" si="21"/>
        <v>4.2045370370324235</v>
      </c>
    </row>
    <row r="122" spans="1:32" ht="15">
      <c r="A122" s="49" t="s">
        <v>110</v>
      </c>
      <c r="B122" s="50"/>
      <c r="C122" s="50"/>
      <c r="D122" s="51"/>
      <c r="E122" s="4">
        <v>18</v>
      </c>
      <c r="F122" s="12">
        <v>41649.369328703702</v>
      </c>
      <c r="G122" s="12">
        <v>41670.369328703702</v>
      </c>
      <c r="H122" s="12">
        <v>41661.614872685182</v>
      </c>
      <c r="I122" s="58">
        <f>IF(ISNUMBER(MATCH(TRUNC(F122),Праздники,0)),TRUNC(F122)+1+$L$1,TRUNC(F122)+MAX(MOD(F122,1),$L$1))</f>
        <v>41649.375</v>
      </c>
      <c r="J122" s="57">
        <f>IF(ISNUMBER(MATCH(TRUNC(H122),Праздники,0)),TRUNC(H122)-1+$M$1,TRUNC(H122)+MIN(MOD(H122,1),$M$1))-SUMPRODUCT((TRUNC(F122)&lt;Праздники)*(TRUNC(H122)&gt;Праздники))</f>
        <v>41661.614872685182</v>
      </c>
      <c r="K122" s="43">
        <v>504</v>
      </c>
      <c r="L122" s="39">
        <v>293.89305554999999</v>
      </c>
      <c r="M122" s="40">
        <v>0</v>
      </c>
      <c r="N122" s="40">
        <v>0</v>
      </c>
      <c r="O122" s="22">
        <f t="shared" si="14"/>
        <v>1</v>
      </c>
      <c r="P122" s="29">
        <f t="shared" si="18"/>
        <v>4.2398726851824904</v>
      </c>
      <c r="Q122" s="6">
        <f t="shared" si="15"/>
        <v>10</v>
      </c>
      <c r="R122" s="6">
        <f t="shared" si="16"/>
        <v>8</v>
      </c>
      <c r="S122" s="6">
        <f t="shared" si="17"/>
        <v>51</v>
      </c>
      <c r="T122" s="9">
        <f>IF(O122=1,((NETWORKDAYS(I122,J122,Праздники)-1)*($M$1-$L$1)+MIN(MAX(MOD(J122,1),(WEEKDAY(J122,2)&gt;5)*$M$1,$L$1),$M$1)-MIN(MAX(MOD(I122,1)*(WEEKDAY(I122,2)&lt;6),$L$1),$M$1)),MAX((TRUNC(J122-I122)-(MOD(J122,1)&gt;MOD(I122,1)))*($M$1-$L$1)+($M$1-MOD(I122,1))+(MOD(J122,1)-$L$1),0))</f>
        <v>4.2398726851824904</v>
      </c>
      <c r="U122" s="6"/>
      <c r="V122" s="6"/>
      <c r="W122" s="6"/>
      <c r="X122" s="6"/>
      <c r="Y122" s="6"/>
      <c r="Z122" s="6"/>
      <c r="AA122" s="6"/>
      <c r="AB122" s="6"/>
      <c r="AC122" s="7">
        <f t="shared" si="22"/>
        <v>4.2398726851824904</v>
      </c>
      <c r="AD122" s="8">
        <f t="shared" si="20"/>
        <v>4.2455439814802958</v>
      </c>
      <c r="AF122" s="13">
        <f t="shared" si="21"/>
        <v>4.2398726851824904</v>
      </c>
    </row>
    <row r="123" spans="1:32" ht="15">
      <c r="A123" s="52" t="s">
        <v>111</v>
      </c>
      <c r="B123" s="50"/>
      <c r="C123" s="50"/>
      <c r="D123" s="51"/>
      <c r="E123" s="3">
        <v>18</v>
      </c>
      <c r="F123" s="12">
        <v>41649.367928240739</v>
      </c>
      <c r="G123" s="12">
        <v>41670.367928240739</v>
      </c>
      <c r="H123" s="12">
        <v>41661.615335648145</v>
      </c>
      <c r="I123" s="58">
        <f>IF(ISNUMBER(MATCH(TRUNC(F123),Праздники,0)),TRUNC(F123)+1+$L$1,TRUNC(F123)+MAX(MOD(F123,1),$L$1))</f>
        <v>41649.375</v>
      </c>
      <c r="J123" s="57">
        <f>IF(ISNUMBER(MATCH(TRUNC(H123),Праздники,0)),TRUNC(H123)-1+$M$1,TRUNC(H123)+MIN(MOD(H123,1),$M$1))-SUMPRODUCT((TRUNC(F123)&lt;Праздники)*(TRUNC(H123)&gt;Праздники))</f>
        <v>41661.615335648145</v>
      </c>
      <c r="K123" s="41">
        <v>504</v>
      </c>
      <c r="L123" s="36">
        <v>293.93777777000003</v>
      </c>
      <c r="M123" s="37">
        <v>0</v>
      </c>
      <c r="N123" s="37">
        <v>0</v>
      </c>
      <c r="O123" s="22">
        <f t="shared" si="14"/>
        <v>1</v>
      </c>
      <c r="P123" s="29">
        <f t="shared" si="18"/>
        <v>4.2403356481445371</v>
      </c>
      <c r="Q123" s="6">
        <f t="shared" si="15"/>
        <v>10</v>
      </c>
      <c r="R123" s="6">
        <f t="shared" si="16"/>
        <v>8</v>
      </c>
      <c r="S123" s="6">
        <f t="shared" si="17"/>
        <v>49</v>
      </c>
      <c r="T123" s="9">
        <f>IF(O123=1,((NETWORKDAYS(I123,J123,Праздники)-1)*($M$1-$L$1)+MIN(MAX(MOD(J123,1),(WEEKDAY(J123,2)&gt;5)*$M$1,$L$1),$M$1)-MIN(MAX(MOD(I123,1)*(WEEKDAY(I123,2)&lt;6),$L$1),$M$1)),MAX((TRUNC(J123-I123)-(MOD(J123,1)&gt;MOD(I123,1)))*($M$1-$L$1)+($M$1-MOD(I123,1))+(MOD(J123,1)-$L$1),0))</f>
        <v>4.2403356481445371</v>
      </c>
      <c r="U123" s="6"/>
      <c r="V123" s="6"/>
      <c r="W123" s="6"/>
      <c r="X123" s="6"/>
      <c r="Y123" s="6"/>
      <c r="Z123" s="6"/>
      <c r="AA123" s="6"/>
      <c r="AB123" s="6"/>
      <c r="AC123" s="7">
        <f t="shared" si="22"/>
        <v>4.2403356481445371</v>
      </c>
      <c r="AD123" s="8">
        <f t="shared" si="20"/>
        <v>4.2474074074052623</v>
      </c>
      <c r="AF123" s="13">
        <f t="shared" si="21"/>
        <v>4.2403356481445371</v>
      </c>
    </row>
    <row r="124" spans="1:32" ht="15">
      <c r="A124" s="49" t="s">
        <v>24</v>
      </c>
      <c r="B124" s="50"/>
      <c r="C124" s="50"/>
      <c r="D124" s="51"/>
      <c r="E124" s="4">
        <v>34</v>
      </c>
      <c r="F124" s="12">
        <v>41661.554027777776</v>
      </c>
      <c r="G124" s="12">
        <v>41662.720694444441</v>
      </c>
      <c r="H124" s="12">
        <v>41662.409398148149</v>
      </c>
      <c r="I124" s="58">
        <f>IF(ISNUMBER(MATCH(TRUNC(F124),Праздники,0)),TRUNC(F124)+1+$L$1,TRUNC(F124)+MAX(MOD(F124,1),$L$1))</f>
        <v>41661.554027777776</v>
      </c>
      <c r="J124" s="57">
        <f>IF(ISNUMBER(MATCH(TRUNC(H124),Праздники,0)),TRUNC(H124)-1+$M$1,TRUNC(H124)+MIN(MOD(H124,1),$M$1))-SUMPRODUCT((TRUNC(F124)&lt;Праздники)*(TRUNC(H124)&gt;Праздники))</f>
        <v>41662.409398148149</v>
      </c>
      <c r="K124" s="43">
        <v>16</v>
      </c>
      <c r="L124" s="39">
        <v>8.5288888800000002</v>
      </c>
      <c r="M124" s="40">
        <v>0</v>
      </c>
      <c r="N124" s="40">
        <v>0</v>
      </c>
      <c r="O124" s="22">
        <f t="shared" si="14"/>
        <v>0</v>
      </c>
      <c r="P124" s="29">
        <f t="shared" si="18"/>
        <v>1.3553703703728388</v>
      </c>
      <c r="Q124" s="6">
        <f t="shared" si="15"/>
        <v>22</v>
      </c>
      <c r="R124" s="6">
        <f t="shared" si="16"/>
        <v>13</v>
      </c>
      <c r="S124" s="6">
        <f t="shared" si="17"/>
        <v>17</v>
      </c>
      <c r="T124" s="9">
        <f>IF(O124=1,((NETWORKDAYS(I124,J124,Праздники)-1)*($M$1-$L$1)+MIN(MAX(MOD(J124,1),(WEEKDAY(J124,2)&gt;5)*$M$1,$L$1),$M$1)-MIN(MAX(MOD(I124,1)*(WEEKDAY(I124,2)&lt;6),$L$1),$M$1)),MAX((TRUNC(J124-I124)-(MOD(J124,1)&gt;MOD(I124,1)))*($M$1-$L$1)+($M$1-MOD(I124,1))+(MOD(J124,1)-$L$1),0))</f>
        <v>0.35537037037283881</v>
      </c>
      <c r="U124" s="6"/>
      <c r="V124" s="6"/>
      <c r="W124" s="6"/>
      <c r="X124" s="6"/>
      <c r="Y124" s="6"/>
      <c r="Z124" s="6"/>
      <c r="AA124" s="6"/>
      <c r="AB124" s="6"/>
      <c r="AC124" s="7">
        <f t="shared" si="22"/>
        <v>1.3553703703728388</v>
      </c>
      <c r="AD124" s="8">
        <f t="shared" si="20"/>
        <v>1.3553703703728388</v>
      </c>
      <c r="AF124" s="13">
        <f t="shared" si="21"/>
        <v>0.35537037037283881</v>
      </c>
    </row>
    <row r="125" spans="1:32" ht="15">
      <c r="A125" s="52" t="s">
        <v>112</v>
      </c>
      <c r="B125" s="50"/>
      <c r="C125" s="50"/>
      <c r="D125" s="51"/>
      <c r="E125" s="3">
        <v>18</v>
      </c>
      <c r="F125" s="12">
        <v>41651.495393518519</v>
      </c>
      <c r="G125" s="12">
        <v>41672.495393518519</v>
      </c>
      <c r="H125" s="12">
        <v>41662.410856481481</v>
      </c>
      <c r="I125" s="58">
        <f>IF(ISNUMBER(MATCH(TRUNC(F125),Праздники,0)),TRUNC(F125)+1+$L$1,TRUNC(F125)+MAX(MOD(F125,1),$L$1))</f>
        <v>41651.495393518519</v>
      </c>
      <c r="J125" s="57">
        <f>IF(ISNUMBER(MATCH(TRUNC(H125),Праздники,0)),TRUNC(H125)-1+$M$1,TRUNC(H125)+MIN(MOD(H125,1),$M$1))-SUMPRODUCT((TRUNC(F125)&lt;Праздники)*(TRUNC(H125)&gt;Праздники))</f>
        <v>41662.410856481481</v>
      </c>
      <c r="K125" s="41">
        <v>504</v>
      </c>
      <c r="L125" s="36">
        <v>261.97111110999998</v>
      </c>
      <c r="M125" s="37">
        <v>0</v>
      </c>
      <c r="N125" s="37">
        <v>0</v>
      </c>
      <c r="O125" s="22">
        <f t="shared" si="14"/>
        <v>1</v>
      </c>
      <c r="P125" s="29">
        <f t="shared" si="18"/>
        <v>4.0358564814814599</v>
      </c>
      <c r="Q125" s="6">
        <f t="shared" si="15"/>
        <v>12</v>
      </c>
      <c r="R125" s="6">
        <f t="shared" si="16"/>
        <v>11</v>
      </c>
      <c r="S125" s="6">
        <f t="shared" si="17"/>
        <v>53</v>
      </c>
      <c r="T125" s="9">
        <f>IF(O125=1,((NETWORKDAYS(I125,J125,Праздники)-1)*($M$1-$L$1)+MIN(MAX(MOD(J125,1),(WEEKDAY(J125,2)&gt;5)*$M$1,$L$1),$M$1)-MIN(MAX(MOD(I125,1)*(WEEKDAY(I125,2)&lt;6),$L$1),$M$1)),MAX((TRUNC(J125-I125)-(MOD(J125,1)&gt;MOD(I125,1)))*($M$1-$L$1)+($M$1-MOD(I125,1))+(MOD(J125,1)-$L$1),0))</f>
        <v>4.0358564814814599</v>
      </c>
      <c r="U125" s="6"/>
      <c r="V125" s="6"/>
      <c r="W125" s="6"/>
      <c r="X125" s="6"/>
      <c r="Y125" s="6"/>
      <c r="Z125" s="6"/>
      <c r="AA125" s="6"/>
      <c r="AB125" s="6"/>
      <c r="AC125" s="7">
        <f t="shared" si="22"/>
        <v>4.0358564814814599</v>
      </c>
      <c r="AD125" s="8">
        <f t="shared" si="20"/>
        <v>4.9154629629629198</v>
      </c>
      <c r="AF125" s="13">
        <f t="shared" si="21"/>
        <v>4.0358564814814599</v>
      </c>
    </row>
    <row r="126" spans="1:32" ht="15">
      <c r="A126" s="49" t="s">
        <v>113</v>
      </c>
      <c r="B126" s="50"/>
      <c r="C126" s="50"/>
      <c r="D126" s="51"/>
      <c r="E126" s="4">
        <v>18</v>
      </c>
      <c r="F126" s="12">
        <v>41651.515300925923</v>
      </c>
      <c r="G126" s="12">
        <v>41672.515300925923</v>
      </c>
      <c r="H126" s="12">
        <v>41662.411458333328</v>
      </c>
      <c r="I126" s="58">
        <f>IF(ISNUMBER(MATCH(TRUNC(F126),Праздники,0)),TRUNC(F126)+1+$L$1,TRUNC(F126)+MAX(MOD(F126,1),$L$1))</f>
        <v>41651.515300925923</v>
      </c>
      <c r="J126" s="57">
        <f>IF(ISNUMBER(MATCH(TRUNC(H126),Праздники,0)),TRUNC(H126)-1+$M$1,TRUNC(H126)+MIN(MOD(H126,1),$M$1))-SUMPRODUCT((TRUNC(F126)&lt;Праздники)*(TRUNC(H126)&gt;Праздники))</f>
        <v>41662.411458333328</v>
      </c>
      <c r="K126" s="43">
        <v>504</v>
      </c>
      <c r="L126" s="39">
        <v>261.50777777000002</v>
      </c>
      <c r="M126" s="40">
        <v>0</v>
      </c>
      <c r="N126" s="40">
        <v>0</v>
      </c>
      <c r="O126" s="22">
        <f t="shared" si="14"/>
        <v>1</v>
      </c>
      <c r="P126" s="29">
        <f t="shared" si="18"/>
        <v>4.0364583333284827</v>
      </c>
      <c r="Q126" s="6">
        <f t="shared" si="15"/>
        <v>12</v>
      </c>
      <c r="R126" s="6">
        <f t="shared" si="16"/>
        <v>12</v>
      </c>
      <c r="S126" s="6">
        <f t="shared" si="17"/>
        <v>22</v>
      </c>
      <c r="T126" s="9">
        <f>IF(O126=1,((NETWORKDAYS(I126,J126,Праздники)-1)*($M$1-$L$1)+MIN(MAX(MOD(J126,1),(WEEKDAY(J126,2)&gt;5)*$M$1,$L$1),$M$1)-MIN(MAX(MOD(I126,1)*(WEEKDAY(I126,2)&lt;6),$L$1),$M$1)),MAX((TRUNC(J126-I126)-(MOD(J126,1)&gt;MOD(I126,1)))*($M$1-$L$1)+($M$1-MOD(I126,1))+(MOD(J126,1)-$L$1),0))</f>
        <v>4.0364583333284827</v>
      </c>
      <c r="U126" s="6"/>
      <c r="V126" s="6"/>
      <c r="W126" s="6"/>
      <c r="X126" s="6"/>
      <c r="Y126" s="6"/>
      <c r="Z126" s="6"/>
      <c r="AA126" s="6"/>
      <c r="AB126" s="6"/>
      <c r="AC126" s="7">
        <f t="shared" si="22"/>
        <v>4.0364583333284827</v>
      </c>
      <c r="AD126" s="8">
        <f t="shared" si="20"/>
        <v>4.8961574074055534</v>
      </c>
      <c r="AF126" s="13">
        <f t="shared" si="21"/>
        <v>4.0364583333284827</v>
      </c>
    </row>
    <row r="127" spans="1:32" ht="15">
      <c r="A127" s="52" t="s">
        <v>114</v>
      </c>
      <c r="B127" s="50"/>
      <c r="C127" s="50"/>
      <c r="D127" s="51"/>
      <c r="E127" s="3">
        <v>18</v>
      </c>
      <c r="F127" s="12">
        <v>41651.523090277777</v>
      </c>
      <c r="G127" s="12">
        <v>41672.523090277777</v>
      </c>
      <c r="H127" s="12">
        <v>41662.411712962959</v>
      </c>
      <c r="I127" s="58">
        <f>IF(ISNUMBER(MATCH(TRUNC(F127),Праздники,0)),TRUNC(F127)+1+$L$1,TRUNC(F127)+MAX(MOD(F127,1),$L$1))</f>
        <v>41651.523090277777</v>
      </c>
      <c r="J127" s="57">
        <f>IF(ISNUMBER(MATCH(TRUNC(H127),Праздники,0)),TRUNC(H127)-1+$M$1,TRUNC(H127)+MIN(MOD(H127,1),$M$1))-SUMPRODUCT((TRUNC(F127)&lt;Праздники)*(TRUNC(H127)&gt;Праздники))</f>
        <v>41662.411712962959</v>
      </c>
      <c r="K127" s="41">
        <v>504</v>
      </c>
      <c r="L127" s="36">
        <v>261.32694443999998</v>
      </c>
      <c r="M127" s="37">
        <v>0</v>
      </c>
      <c r="N127" s="37">
        <v>0</v>
      </c>
      <c r="O127" s="22">
        <f t="shared" si="14"/>
        <v>1</v>
      </c>
      <c r="P127" s="29">
        <f t="shared" si="18"/>
        <v>4.0367129629594274</v>
      </c>
      <c r="Q127" s="6">
        <f t="shared" si="15"/>
        <v>12</v>
      </c>
      <c r="R127" s="6">
        <f t="shared" si="16"/>
        <v>12</v>
      </c>
      <c r="S127" s="6">
        <f t="shared" si="17"/>
        <v>33</v>
      </c>
      <c r="T127" s="9">
        <f>IF(O127=1,((NETWORKDAYS(I127,J127,Праздники)-1)*($M$1-$L$1)+MIN(MAX(MOD(J127,1),(WEEKDAY(J127,2)&gt;5)*$M$1,$L$1),$M$1)-MIN(MAX(MOD(I127,1)*(WEEKDAY(I127,2)&lt;6),$L$1),$M$1)),MAX((TRUNC(J127-I127)-(MOD(J127,1)&gt;MOD(I127,1)))*($M$1-$L$1)+($M$1-MOD(I127,1))+(MOD(J127,1)-$L$1),0))</f>
        <v>4.0367129629594274</v>
      </c>
      <c r="U127" s="6"/>
      <c r="V127" s="6"/>
      <c r="W127" s="6"/>
      <c r="X127" s="6"/>
      <c r="Y127" s="6"/>
      <c r="Z127" s="6"/>
      <c r="AA127" s="6"/>
      <c r="AB127" s="6"/>
      <c r="AC127" s="7">
        <f t="shared" si="22"/>
        <v>4.0367129629594274</v>
      </c>
      <c r="AD127" s="8">
        <f t="shared" si="20"/>
        <v>4.8886226851827814</v>
      </c>
      <c r="AF127" s="13">
        <f t="shared" si="21"/>
        <v>4.0367129629594274</v>
      </c>
    </row>
    <row r="128" spans="1:32" ht="15">
      <c r="A128" s="49" t="s">
        <v>115</v>
      </c>
      <c r="B128" s="50"/>
      <c r="C128" s="50"/>
      <c r="D128" s="51"/>
      <c r="E128" s="4">
        <v>18</v>
      </c>
      <c r="F128" s="12">
        <v>41651.5234375</v>
      </c>
      <c r="G128" s="12">
        <v>41672.5234375</v>
      </c>
      <c r="H128" s="12">
        <v>41662.411909722221</v>
      </c>
      <c r="I128" s="58">
        <f>IF(ISNUMBER(MATCH(TRUNC(F128),Праздники,0)),TRUNC(F128)+1+$L$1,TRUNC(F128)+MAX(MOD(F128,1),$L$1))</f>
        <v>41651.5234375</v>
      </c>
      <c r="J128" s="57">
        <f>IF(ISNUMBER(MATCH(TRUNC(H128),Праздники,0)),TRUNC(H128)-1+$M$1,TRUNC(H128)+MIN(MOD(H128,1),$M$1))-SUMPRODUCT((TRUNC(F128)&lt;Праздники)*(TRUNC(H128)&gt;Праздники))</f>
        <v>41662.411909722221</v>
      </c>
      <c r="K128" s="43">
        <v>504</v>
      </c>
      <c r="L128" s="39">
        <v>261.32333333000003</v>
      </c>
      <c r="M128" s="40">
        <v>0</v>
      </c>
      <c r="N128" s="40">
        <v>0</v>
      </c>
      <c r="O128" s="22">
        <f t="shared" si="14"/>
        <v>1</v>
      </c>
      <c r="P128" s="29">
        <f t="shared" si="18"/>
        <v>4.0369097222210257</v>
      </c>
      <c r="Q128" s="6">
        <f t="shared" si="15"/>
        <v>12</v>
      </c>
      <c r="R128" s="6">
        <f t="shared" si="16"/>
        <v>12</v>
      </c>
      <c r="S128" s="6">
        <f t="shared" si="17"/>
        <v>33</v>
      </c>
      <c r="T128" s="9">
        <f>IF(O128=1,((NETWORKDAYS(I128,J128,Праздники)-1)*($M$1-$L$1)+MIN(MAX(MOD(J128,1),(WEEKDAY(J128,2)&gt;5)*$M$1,$L$1),$M$1)-MIN(MAX(MOD(I128,1)*(WEEKDAY(I128,2)&lt;6),$L$1),$M$1)),MAX((TRUNC(J128-I128)-(MOD(J128,1)&gt;MOD(I128,1)))*($M$1-$L$1)+($M$1-MOD(I128,1))+(MOD(J128,1)-$L$1),0))</f>
        <v>4.0369097222210257</v>
      </c>
      <c r="U128" s="6"/>
      <c r="V128" s="6"/>
      <c r="W128" s="6"/>
      <c r="X128" s="6"/>
      <c r="Y128" s="6"/>
      <c r="Z128" s="6"/>
      <c r="AA128" s="6"/>
      <c r="AB128" s="6"/>
      <c r="AC128" s="7">
        <f t="shared" si="22"/>
        <v>4.0369097222210257</v>
      </c>
      <c r="AD128" s="8">
        <f t="shared" si="20"/>
        <v>4.8884722222210257</v>
      </c>
      <c r="AF128" s="13">
        <f t="shared" si="21"/>
        <v>4.0369097222210257</v>
      </c>
    </row>
    <row r="129" spans="1:32" ht="15">
      <c r="A129" s="52" t="s">
        <v>116</v>
      </c>
      <c r="B129" s="50"/>
      <c r="C129" s="50"/>
      <c r="D129" s="51"/>
      <c r="E129" s="3">
        <v>18</v>
      </c>
      <c r="F129" s="12">
        <v>41651.567164351851</v>
      </c>
      <c r="G129" s="12">
        <v>41672.567164351851</v>
      </c>
      <c r="H129" s="12">
        <v>41662.412118055552</v>
      </c>
      <c r="I129" s="58">
        <f>IF(ISNUMBER(MATCH(TRUNC(F129),Праздники,0)),TRUNC(F129)+1+$L$1,TRUNC(F129)+MAX(MOD(F129,1),$L$1))</f>
        <v>41651.567164351851</v>
      </c>
      <c r="J129" s="57">
        <f>IF(ISNUMBER(MATCH(TRUNC(H129),Праздники,0)),TRUNC(H129)-1+$M$1,TRUNC(H129)+MIN(MOD(H129,1),$M$1))-SUMPRODUCT((TRUNC(F129)&lt;Праздники)*(TRUNC(H129)&gt;Праздники))</f>
        <v>41662.412118055552</v>
      </c>
      <c r="K129" s="41">
        <v>504</v>
      </c>
      <c r="L129" s="36">
        <v>260.27888888000001</v>
      </c>
      <c r="M129" s="37">
        <v>0</v>
      </c>
      <c r="N129" s="37">
        <v>0</v>
      </c>
      <c r="O129" s="22">
        <f t="shared" si="14"/>
        <v>1</v>
      </c>
      <c r="P129" s="29">
        <f t="shared" si="18"/>
        <v>4.0371180555521278</v>
      </c>
      <c r="Q129" s="6">
        <f t="shared" si="15"/>
        <v>12</v>
      </c>
      <c r="R129" s="6">
        <f t="shared" si="16"/>
        <v>13</v>
      </c>
      <c r="S129" s="6">
        <f t="shared" si="17"/>
        <v>36</v>
      </c>
      <c r="T129" s="9">
        <f>IF(O129=1,((NETWORKDAYS(I129,J129,Праздники)-1)*($M$1-$L$1)+MIN(MAX(MOD(J129,1),(WEEKDAY(J129,2)&gt;5)*$M$1,$L$1),$M$1)-MIN(MAX(MOD(I129,1)*(WEEKDAY(I129,2)&lt;6),$L$1),$M$1)),MAX((TRUNC(J129-I129)-(MOD(J129,1)&gt;MOD(I129,1)))*($M$1-$L$1)+($M$1-MOD(I129,1))+(MOD(J129,1)-$L$1),0))</f>
        <v>4.0371180555521278</v>
      </c>
      <c r="U129" s="6"/>
      <c r="V129" s="6"/>
      <c r="W129" s="6"/>
      <c r="X129" s="6"/>
      <c r="Y129" s="6"/>
      <c r="Z129" s="6"/>
      <c r="AA129" s="6"/>
      <c r="AB129" s="6"/>
      <c r="AC129" s="7">
        <f t="shared" si="22"/>
        <v>4.0371180555521278</v>
      </c>
      <c r="AD129" s="8">
        <f t="shared" si="20"/>
        <v>4.8449537037013215</v>
      </c>
      <c r="AF129" s="13">
        <f t="shared" si="21"/>
        <v>4.0371180555521278</v>
      </c>
    </row>
    <row r="130" spans="1:32" ht="15">
      <c r="A130" s="49" t="s">
        <v>117</v>
      </c>
      <c r="B130" s="50"/>
      <c r="C130" s="50"/>
      <c r="D130" s="51"/>
      <c r="E130" s="4">
        <v>18</v>
      </c>
      <c r="F130" s="12">
        <v>41651.566724537035</v>
      </c>
      <c r="G130" s="12">
        <v>41672.566724537035</v>
      </c>
      <c r="H130" s="12">
        <v>41662.412291666667</v>
      </c>
      <c r="I130" s="58">
        <f>IF(ISNUMBER(MATCH(TRUNC(F130),Праздники,0)),TRUNC(F130)+1+$L$1,TRUNC(F130)+MAX(MOD(F130,1),$L$1))</f>
        <v>41651.566724537035</v>
      </c>
      <c r="J130" s="57">
        <f>IF(ISNUMBER(MATCH(TRUNC(H130),Праздники,0)),TRUNC(H130)-1+$M$1,TRUNC(H130)+MIN(MOD(H130,1),$M$1))-SUMPRODUCT((TRUNC(F130)&lt;Праздники)*(TRUNC(H130)&gt;Праздники))</f>
        <v>41662.412291666667</v>
      </c>
      <c r="K130" s="43">
        <v>504</v>
      </c>
      <c r="L130" s="39">
        <v>260.29361110999997</v>
      </c>
      <c r="M130" s="40">
        <v>0</v>
      </c>
      <c r="N130" s="40">
        <v>0</v>
      </c>
      <c r="O130" s="22">
        <f t="shared" si="14"/>
        <v>1</v>
      </c>
      <c r="P130" s="29">
        <f t="shared" si="18"/>
        <v>4.0372916666674428</v>
      </c>
      <c r="Q130" s="6">
        <f t="shared" si="15"/>
        <v>12</v>
      </c>
      <c r="R130" s="6">
        <f t="shared" si="16"/>
        <v>13</v>
      </c>
      <c r="S130" s="6">
        <f t="shared" si="17"/>
        <v>36</v>
      </c>
      <c r="T130" s="9">
        <f>IF(O130=1,((NETWORKDAYS(I130,J130,Праздники)-1)*($M$1-$L$1)+MIN(MAX(MOD(J130,1),(WEEKDAY(J130,2)&gt;5)*$M$1,$L$1),$M$1)-MIN(MAX(MOD(I130,1)*(WEEKDAY(I130,2)&lt;6),$L$1),$M$1)),MAX((TRUNC(J130-I130)-(MOD(J130,1)&gt;MOD(I130,1)))*($M$1-$L$1)+($M$1-MOD(I130,1))+(MOD(J130,1)-$L$1),0))</f>
        <v>4.0372916666674428</v>
      </c>
      <c r="U130" s="6"/>
      <c r="V130" s="6"/>
      <c r="W130" s="6"/>
      <c r="X130" s="6"/>
      <c r="Y130" s="6"/>
      <c r="Z130" s="6"/>
      <c r="AA130" s="6"/>
      <c r="AB130" s="6"/>
      <c r="AC130" s="7">
        <f t="shared" si="22"/>
        <v>4.0372916666674428</v>
      </c>
      <c r="AD130" s="8">
        <f t="shared" si="20"/>
        <v>4.8455671296323999</v>
      </c>
      <c r="AF130" s="13">
        <f t="shared" si="21"/>
        <v>4.0372916666674428</v>
      </c>
    </row>
    <row r="131" spans="1:32" ht="15">
      <c r="A131" s="52" t="s">
        <v>133</v>
      </c>
      <c r="B131" s="50"/>
      <c r="C131" s="50"/>
      <c r="D131" s="51"/>
      <c r="E131" s="3">
        <v>18</v>
      </c>
      <c r="F131" s="12">
        <v>41651.523819444439</v>
      </c>
      <c r="G131" s="12">
        <v>41672.523819444439</v>
      </c>
      <c r="H131" s="12">
        <v>41662.412453703699</v>
      </c>
      <c r="I131" s="58">
        <f>IF(ISNUMBER(MATCH(TRUNC(F131),Праздники,0)),TRUNC(F131)+1+$L$1,TRUNC(F131)+MAX(MOD(F131,1),$L$1))</f>
        <v>41651.523819444439</v>
      </c>
      <c r="J131" s="57">
        <f>IF(ISNUMBER(MATCH(TRUNC(H131),Праздники,0)),TRUNC(H131)-1+$M$1,TRUNC(H131)+MIN(MOD(H131,1),$M$1))-SUMPRODUCT((TRUNC(F131)&lt;Праздники)*(TRUNC(H131)&gt;Праздники))</f>
        <v>41662.412453703699</v>
      </c>
      <c r="K131" s="41">
        <v>504</v>
      </c>
      <c r="L131" s="36">
        <v>261.32722222000001</v>
      </c>
      <c r="M131" s="37">
        <v>0</v>
      </c>
      <c r="N131" s="37">
        <v>0</v>
      </c>
      <c r="O131" s="22">
        <f t="shared" si="14"/>
        <v>1</v>
      </c>
      <c r="P131" s="29">
        <f t="shared" si="18"/>
        <v>4.0374537036987022</v>
      </c>
      <c r="Q131" s="6">
        <f t="shared" si="15"/>
        <v>12</v>
      </c>
      <c r="R131" s="6">
        <f t="shared" si="16"/>
        <v>12</v>
      </c>
      <c r="S131" s="6">
        <f t="shared" si="17"/>
        <v>34</v>
      </c>
      <c r="T131" s="9">
        <f>IF(O131=1,((NETWORKDAYS(I131,J131,Праздники)-1)*($M$1-$L$1)+MIN(MAX(MOD(J131,1),(WEEKDAY(J131,2)&gt;5)*$M$1,$L$1),$M$1)-MIN(MAX(MOD(I131,1)*(WEEKDAY(I131,2)&lt;6),$L$1),$M$1)),MAX((TRUNC(J131-I131)-(MOD(J131,1)&gt;MOD(I131,1)))*($M$1-$L$1)+($M$1-MOD(I131,1))+(MOD(J131,1)-$L$1),0))</f>
        <v>4.0374537036987022</v>
      </c>
      <c r="U131" s="6"/>
      <c r="V131" s="6"/>
      <c r="W131" s="6"/>
      <c r="X131" s="6"/>
      <c r="Y131" s="6"/>
      <c r="Z131" s="6"/>
      <c r="AA131" s="6"/>
      <c r="AB131" s="6"/>
      <c r="AC131" s="7">
        <f t="shared" si="22"/>
        <v>4.0374537036987022</v>
      </c>
      <c r="AD131" s="8">
        <f t="shared" ref="AD131:AD149" si="23">(H131-F131)-INT(H131-F131)+(NETWORKDAYS(F131,H131)-(NETWORKDAYS(F131,H131)&lt;&gt;0))*($M$1-$L$1)</f>
        <v>4.8886342592595611</v>
      </c>
      <c r="AF131" s="13">
        <f t="shared" ref="AF131:AF149" si="24">(NETWORKDAYS(F131,H131)-1)*($M$1-$L$1)+MIN(MAX(MOD(H131,1),(WEEKDAY(H131,2)&gt;5)*$M$1,$L$1),$M$1)-MIN(MAX(MOD(F131,1)*(WEEKDAY(F131,2)&lt;6),$L$1),$M$1)</f>
        <v>4.0374537036987022</v>
      </c>
    </row>
    <row r="132" spans="1:32" ht="15">
      <c r="A132" s="49" t="s">
        <v>118</v>
      </c>
      <c r="B132" s="50"/>
      <c r="C132" s="50"/>
      <c r="D132" s="51"/>
      <c r="E132" s="4">
        <v>18</v>
      </c>
      <c r="F132" s="12">
        <v>41651.555185185185</v>
      </c>
      <c r="G132" s="12">
        <v>41672.555185185185</v>
      </c>
      <c r="H132" s="12">
        <v>41662.413055555553</v>
      </c>
      <c r="I132" s="58">
        <f>IF(ISNUMBER(MATCH(TRUNC(F132),Праздники,0)),TRUNC(F132)+1+$L$1,TRUNC(F132)+MAX(MOD(F132,1),$L$1))</f>
        <v>41651.555185185185</v>
      </c>
      <c r="J132" s="57">
        <f>IF(ISNUMBER(MATCH(TRUNC(H132),Праздники,0)),TRUNC(H132)-1+$M$1,TRUNC(H132)+MIN(MOD(H132,1),$M$1))-SUMPRODUCT((TRUNC(F132)&lt;Праздники)*(TRUNC(H132)&gt;Праздники))</f>
        <v>41662.413055555553</v>
      </c>
      <c r="K132" s="43">
        <v>504</v>
      </c>
      <c r="L132" s="39">
        <v>260.58888888000001</v>
      </c>
      <c r="M132" s="40">
        <v>0</v>
      </c>
      <c r="N132" s="40">
        <v>0</v>
      </c>
      <c r="O132" s="22">
        <f t="shared" ref="O132:O149" si="25">IF(MID(A132,1,2)="ТО",1,)</f>
        <v>1</v>
      </c>
      <c r="P132" s="29">
        <f t="shared" si="18"/>
        <v>4.0380555555530009</v>
      </c>
      <c r="Q132" s="6">
        <f t="shared" si="15"/>
        <v>12</v>
      </c>
      <c r="R132" s="6">
        <f t="shared" si="16"/>
        <v>13</v>
      </c>
      <c r="S132" s="6">
        <f t="shared" si="17"/>
        <v>19</v>
      </c>
      <c r="T132" s="9">
        <f>IF(O132=1,((NETWORKDAYS(I132,J132,Праздники)-1)*($M$1-$L$1)+MIN(MAX(MOD(J132,1),(WEEKDAY(J132,2)&gt;5)*$M$1,$L$1),$M$1)-MIN(MAX(MOD(I132,1)*(WEEKDAY(I132,2)&lt;6),$L$1),$M$1)),MAX((TRUNC(J132-I132)-(MOD(J132,1)&gt;MOD(I132,1)))*($M$1-$L$1)+($M$1-MOD(I132,1))+(MOD(J132,1)-$L$1),0))</f>
        <v>4.0380555555530009</v>
      </c>
      <c r="U132" s="6"/>
      <c r="V132" s="6"/>
      <c r="W132" s="6"/>
      <c r="X132" s="6"/>
      <c r="Y132" s="6"/>
      <c r="Z132" s="6"/>
      <c r="AA132" s="6"/>
      <c r="AB132" s="6"/>
      <c r="AC132" s="7">
        <f t="shared" si="22"/>
        <v>4.0380555555530009</v>
      </c>
      <c r="AD132" s="8">
        <f t="shared" si="23"/>
        <v>4.8578703703678912</v>
      </c>
      <c r="AF132" s="13">
        <f t="shared" si="24"/>
        <v>4.0380555555530009</v>
      </c>
    </row>
    <row r="133" spans="1:32" ht="15">
      <c r="A133" s="52" t="s">
        <v>119</v>
      </c>
      <c r="B133" s="50"/>
      <c r="C133" s="50"/>
      <c r="D133" s="51"/>
      <c r="E133" s="3">
        <v>18</v>
      </c>
      <c r="F133" s="12">
        <v>41651.556076388886</v>
      </c>
      <c r="G133" s="12">
        <v>41672.556076388886</v>
      </c>
      <c r="H133" s="12">
        <v>41662.413206018515</v>
      </c>
      <c r="I133" s="58">
        <f>IF(ISNUMBER(MATCH(TRUNC(F133),Праздники,0)),TRUNC(F133)+1+$L$1,TRUNC(F133)+MAX(MOD(F133,1),$L$1))</f>
        <v>41651.556076388886</v>
      </c>
      <c r="J133" s="57">
        <f>IF(ISNUMBER(MATCH(TRUNC(H133),Праздники,0)),TRUNC(H133)-1+$M$1,TRUNC(H133)+MIN(MOD(H133,1),$M$1))-SUMPRODUCT((TRUNC(F133)&lt;Праздники)*(TRUNC(H133)&gt;Праздники))</f>
        <v>41662.413206018515</v>
      </c>
      <c r="K133" s="41">
        <v>504</v>
      </c>
      <c r="L133" s="36">
        <v>260.57111111</v>
      </c>
      <c r="M133" s="37">
        <v>0</v>
      </c>
      <c r="N133" s="37">
        <v>0</v>
      </c>
      <c r="O133" s="22">
        <f t="shared" si="25"/>
        <v>1</v>
      </c>
      <c r="P133" s="29">
        <f t="shared" si="18"/>
        <v>4.0382060185147566</v>
      </c>
      <c r="Q133" s="6">
        <f t="shared" ref="Q133:Q149" si="26">DAY(F133)</f>
        <v>12</v>
      </c>
      <c r="R133" s="6">
        <f t="shared" ref="R133:R149" si="27">HOUR(F133)</f>
        <v>13</v>
      </c>
      <c r="S133" s="6">
        <f t="shared" ref="S133:S149" si="28">MINUTE(F133)</f>
        <v>20</v>
      </c>
      <c r="T133" s="9">
        <f>IF(O133=1,((NETWORKDAYS(I133,J133,Праздники)-1)*($M$1-$L$1)+MIN(MAX(MOD(J133,1),(WEEKDAY(J133,2)&gt;5)*$M$1,$L$1),$M$1)-MIN(MAX(MOD(I133,1)*(WEEKDAY(I133,2)&lt;6),$L$1),$M$1)),MAX((TRUNC(J133-I133)-(MOD(J133,1)&gt;MOD(I133,1)))*($M$1-$L$1)+($M$1-MOD(I133,1))+(MOD(J133,1)-$L$1),0))</f>
        <v>4.0382060185147566</v>
      </c>
      <c r="U133" s="6"/>
      <c r="V133" s="6"/>
      <c r="W133" s="6"/>
      <c r="X133" s="6"/>
      <c r="Y133" s="6"/>
      <c r="Z133" s="6"/>
      <c r="AA133" s="6"/>
      <c r="AB133" s="6"/>
      <c r="AC133" s="7">
        <f t="shared" si="22"/>
        <v>4.0382060185147566</v>
      </c>
      <c r="AD133" s="8">
        <f t="shared" si="23"/>
        <v>4.8571296296286164</v>
      </c>
      <c r="AF133" s="13">
        <f t="shared" si="24"/>
        <v>4.0382060185147566</v>
      </c>
    </row>
    <row r="134" spans="1:32" ht="15">
      <c r="A134" s="49" t="s">
        <v>120</v>
      </c>
      <c r="B134" s="50"/>
      <c r="C134" s="50"/>
      <c r="D134" s="51"/>
      <c r="E134" s="4">
        <v>18</v>
      </c>
      <c r="F134" s="12">
        <v>41651.56454861111</v>
      </c>
      <c r="G134" s="12">
        <v>41672.56454861111</v>
      </c>
      <c r="H134" s="12">
        <v>41662.413356481477</v>
      </c>
      <c r="I134" s="58">
        <f>IF(ISNUMBER(MATCH(TRUNC(F134),Праздники,0)),TRUNC(F134)+1+$L$1,TRUNC(F134)+MAX(MOD(F134,1),$L$1))</f>
        <v>41651.56454861111</v>
      </c>
      <c r="J134" s="57">
        <f>IF(ISNUMBER(MATCH(TRUNC(H134),Праздники,0)),TRUNC(H134)-1+$M$1,TRUNC(H134)+MIN(MOD(H134,1),$M$1))-SUMPRODUCT((TRUNC(F134)&lt;Праздники)*(TRUNC(H134)&gt;Праздники))</f>
        <v>41662.413356481477</v>
      </c>
      <c r="K134" s="43">
        <v>504</v>
      </c>
      <c r="L134" s="39">
        <v>260.37138887999998</v>
      </c>
      <c r="M134" s="40">
        <v>0</v>
      </c>
      <c r="N134" s="40">
        <v>0</v>
      </c>
      <c r="O134" s="22">
        <f t="shared" si="25"/>
        <v>1</v>
      </c>
      <c r="P134" s="29">
        <f t="shared" ref="P134:P151" si="29">IF(O134=1,((NETWORKDAYS(F134,H134)-1)*($M$1-$L$1)+MIN(MAX(MOD(H134,1),(WEEKDAY(H134,2)&gt;5)*$M$1,$L$1),$M$1)-MIN(MAX(MOD(F134,1)*(WEEKDAY(F134,2)&lt;6),$L$1),$M$1)),(H134-F134)-INT(H134-F134)+(DATEDIF(F134,H134,"d"))*($M$1-$L$1))</f>
        <v>4.0383564814765123</v>
      </c>
      <c r="Q134" s="6">
        <f t="shared" si="26"/>
        <v>12</v>
      </c>
      <c r="R134" s="6">
        <f t="shared" si="27"/>
        <v>13</v>
      </c>
      <c r="S134" s="6">
        <f t="shared" si="28"/>
        <v>32</v>
      </c>
      <c r="T134" s="9">
        <f>IF(O134=1,((NETWORKDAYS(I134,J134,Праздники)-1)*($M$1-$L$1)+MIN(MAX(MOD(J134,1),(WEEKDAY(J134,2)&gt;5)*$M$1,$L$1),$M$1)-MIN(MAX(MOD(I134,1)*(WEEKDAY(I134,2)&lt;6),$L$1),$M$1)),MAX((TRUNC(J134-I134)-(MOD(J134,1)&gt;MOD(I134,1)))*($M$1-$L$1)+($M$1-MOD(I134,1))+(MOD(J134,1)-$L$1),0))</f>
        <v>4.0383564814765123</v>
      </c>
      <c r="U134" s="6"/>
      <c r="V134" s="6"/>
      <c r="W134" s="6"/>
      <c r="X134" s="6"/>
      <c r="Y134" s="6"/>
      <c r="Z134" s="6"/>
      <c r="AA134" s="6"/>
      <c r="AB134" s="6"/>
      <c r="AC134" s="7">
        <f t="shared" ref="AC134:AC149" si="30">IF(A134&gt;="ТО",((NETWORKDAYS(F134,H134)-1)*($M$1-$L$1)+MIN(MAX(MOD(H134,1),(WEEKDAY(H134,2)&gt;5)*$M$1,$L$1),$M$1)-MIN(MAX(MOD(F134,1)*(WEEKDAY(F134,2)&lt;6),$L$1),$M$1)),(H134-F134)-INT(H134-F134)+(DATEDIF(F134,H134,"d"))*($M$1-$L$1))</f>
        <v>4.0383564814765123</v>
      </c>
      <c r="AD134" s="8">
        <f t="shared" si="23"/>
        <v>4.848807870366727</v>
      </c>
      <c r="AF134" s="13">
        <f t="shared" si="24"/>
        <v>4.0383564814765123</v>
      </c>
    </row>
    <row r="135" spans="1:32" ht="15">
      <c r="A135" s="52" t="s">
        <v>121</v>
      </c>
      <c r="B135" s="50"/>
      <c r="C135" s="50"/>
      <c r="D135" s="51"/>
      <c r="E135" s="3">
        <v>18</v>
      </c>
      <c r="F135" s="12">
        <v>41651.565046296295</v>
      </c>
      <c r="G135" s="12">
        <v>41672.565046296295</v>
      </c>
      <c r="H135" s="12">
        <v>41662.413530092592</v>
      </c>
      <c r="I135" s="58">
        <f>IF(ISNUMBER(MATCH(TRUNC(F135),Праздники,0)),TRUNC(F135)+1+$L$1,TRUNC(F135)+MAX(MOD(F135,1),$L$1))</f>
        <v>41651.565046296295</v>
      </c>
      <c r="J135" s="57">
        <f>IF(ISNUMBER(MATCH(TRUNC(H135),Праздники,0)),TRUNC(H135)-1+$M$1,TRUNC(H135)+MIN(MOD(H135,1),$M$1))-SUMPRODUCT((TRUNC(F135)&lt;Праздники)*(TRUNC(H135)&gt;Праздники))</f>
        <v>41662.413530092592</v>
      </c>
      <c r="K135" s="41">
        <v>504</v>
      </c>
      <c r="L135" s="36">
        <v>260.36361111000002</v>
      </c>
      <c r="M135" s="37">
        <v>0</v>
      </c>
      <c r="N135" s="37">
        <v>0</v>
      </c>
      <c r="O135" s="22">
        <f t="shared" si="25"/>
        <v>1</v>
      </c>
      <c r="P135" s="29">
        <f t="shared" si="29"/>
        <v>4.0385300925918273</v>
      </c>
      <c r="Q135" s="6">
        <f t="shared" si="26"/>
        <v>12</v>
      </c>
      <c r="R135" s="6">
        <f t="shared" si="27"/>
        <v>13</v>
      </c>
      <c r="S135" s="6">
        <f t="shared" si="28"/>
        <v>33</v>
      </c>
      <c r="T135" s="9">
        <f>IF(O135=1,((NETWORKDAYS(I135,J135,Праздники)-1)*($M$1-$L$1)+MIN(MAX(MOD(J135,1),(WEEKDAY(J135,2)&gt;5)*$M$1,$L$1),$M$1)-MIN(MAX(MOD(I135,1)*(WEEKDAY(I135,2)&lt;6),$L$1),$M$1)),MAX((TRUNC(J135-I135)-(MOD(J135,1)&gt;MOD(I135,1)))*($M$1-$L$1)+($M$1-MOD(I135,1))+(MOD(J135,1)-$L$1),0))</f>
        <v>4.0385300925918273</v>
      </c>
      <c r="U135" s="6"/>
      <c r="V135" s="6"/>
      <c r="W135" s="6"/>
      <c r="X135" s="6"/>
      <c r="Y135" s="6"/>
      <c r="Z135" s="6"/>
      <c r="AA135" s="6"/>
      <c r="AB135" s="6"/>
      <c r="AC135" s="7">
        <f t="shared" si="30"/>
        <v>4.0385300925918273</v>
      </c>
      <c r="AD135" s="8">
        <f t="shared" si="23"/>
        <v>4.8484837962969323</v>
      </c>
      <c r="AF135" s="13">
        <f t="shared" si="24"/>
        <v>4.0385300925918273</v>
      </c>
    </row>
    <row r="136" spans="1:32" ht="15">
      <c r="A136" s="49" t="s">
        <v>122</v>
      </c>
      <c r="B136" s="50"/>
      <c r="C136" s="50"/>
      <c r="D136" s="51"/>
      <c r="E136" s="4">
        <v>18</v>
      </c>
      <c r="F136" s="12">
        <v>41651.565509259257</v>
      </c>
      <c r="G136" s="12">
        <v>41672.565509259257</v>
      </c>
      <c r="H136" s="12">
        <v>41662.413680555554</v>
      </c>
      <c r="I136" s="58">
        <f>IF(ISNUMBER(MATCH(TRUNC(F136),Праздники,0)),TRUNC(F136)+1+$L$1,TRUNC(F136)+MAX(MOD(F136,1),$L$1))</f>
        <v>41651.565509259257</v>
      </c>
      <c r="J136" s="57">
        <f>IF(ISNUMBER(MATCH(TRUNC(H136),Праздники,0)),TRUNC(H136)-1+$M$1,TRUNC(H136)+MIN(MOD(H136,1),$M$1))-SUMPRODUCT((TRUNC(F136)&lt;Праздники)*(TRUNC(H136)&gt;Праздники))</f>
        <v>41662.413680555554</v>
      </c>
      <c r="K136" s="43">
        <v>504</v>
      </c>
      <c r="L136" s="39">
        <v>260.35611110999997</v>
      </c>
      <c r="M136" s="40">
        <v>0</v>
      </c>
      <c r="N136" s="40">
        <v>0</v>
      </c>
      <c r="O136" s="22">
        <f t="shared" si="25"/>
        <v>1</v>
      </c>
      <c r="P136" s="29">
        <f t="shared" si="29"/>
        <v>4.038680555553583</v>
      </c>
      <c r="Q136" s="6">
        <f t="shared" si="26"/>
        <v>12</v>
      </c>
      <c r="R136" s="6">
        <f t="shared" si="27"/>
        <v>13</v>
      </c>
      <c r="S136" s="6">
        <f t="shared" si="28"/>
        <v>34</v>
      </c>
      <c r="T136" s="9">
        <f>IF(O136=1,((NETWORKDAYS(I136,J136,Праздники)-1)*($M$1-$L$1)+MIN(MAX(MOD(J136,1),(WEEKDAY(J136,2)&gt;5)*$M$1,$L$1),$M$1)-MIN(MAX(MOD(I136,1)*(WEEKDAY(I136,2)&lt;6),$L$1),$M$1)),MAX((TRUNC(J136-I136)-(MOD(J136,1)&gt;MOD(I136,1)))*($M$1-$L$1)+($M$1-MOD(I136,1))+(MOD(J136,1)-$L$1),0))</f>
        <v>4.038680555553583</v>
      </c>
      <c r="U136" s="6"/>
      <c r="V136" s="6"/>
      <c r="W136" s="6"/>
      <c r="X136" s="6"/>
      <c r="Y136" s="6"/>
      <c r="Z136" s="6"/>
      <c r="AA136" s="6"/>
      <c r="AB136" s="6"/>
      <c r="AC136" s="7">
        <f t="shared" si="30"/>
        <v>4.038680555553583</v>
      </c>
      <c r="AD136" s="8">
        <f t="shared" si="23"/>
        <v>4.8481712962966412</v>
      </c>
      <c r="AF136" s="13">
        <f t="shared" si="24"/>
        <v>4.038680555553583</v>
      </c>
    </row>
    <row r="137" spans="1:32" ht="15">
      <c r="A137" s="52" t="s">
        <v>25</v>
      </c>
      <c r="B137" s="50"/>
      <c r="C137" s="50"/>
      <c r="D137" s="51"/>
      <c r="E137" s="3">
        <v>34</v>
      </c>
      <c r="F137" s="12">
        <v>41662.300451388888</v>
      </c>
      <c r="G137" s="12">
        <v>41663.479166666664</v>
      </c>
      <c r="H137" s="12">
        <v>41662.42087962963</v>
      </c>
      <c r="I137" s="58">
        <f>IF(ISNUMBER(MATCH(TRUNC(F137),Праздники,0)),TRUNC(F137)+1+$L$1,TRUNC(F137)+MAX(MOD(F137,1),$L$1))</f>
        <v>41662.375</v>
      </c>
      <c r="J137" s="57">
        <f>IF(ISNUMBER(MATCH(TRUNC(H137),Праздники,0)),TRUNC(H137)-1+$M$1,TRUNC(H137)+MIN(MOD(H137,1),$M$1))-SUMPRODUCT((TRUNC(F137)&lt;Праздники)*(TRUNC(H137)&gt;Праздники))</f>
        <v>41662.42087962963</v>
      </c>
      <c r="K137" s="41">
        <v>16</v>
      </c>
      <c r="L137" s="36">
        <v>2.6011111100000002</v>
      </c>
      <c r="M137" s="37">
        <v>0</v>
      </c>
      <c r="N137" s="37">
        <v>0</v>
      </c>
      <c r="O137" s="22">
        <f t="shared" si="25"/>
        <v>0</v>
      </c>
      <c r="P137" s="29">
        <f t="shared" si="29"/>
        <v>0.12042824074160308</v>
      </c>
      <c r="Q137" s="6">
        <f t="shared" si="26"/>
        <v>23</v>
      </c>
      <c r="R137" s="6">
        <f t="shared" si="27"/>
        <v>7</v>
      </c>
      <c r="S137" s="6">
        <f t="shared" si="28"/>
        <v>12</v>
      </c>
      <c r="T137" s="9">
        <f>IF(O137=1,((NETWORKDAYS(I137,J137,Праздники)-1)*($M$1-$L$1)+MIN(MAX(MOD(J137,1),(WEEKDAY(J137,2)&gt;5)*$M$1,$L$1),$M$1)-MIN(MAX(MOD(I137,1)*(WEEKDAY(I137,2)&lt;6),$L$1),$M$1)),MAX((TRUNC(J137-I137)-(MOD(J137,1)&gt;MOD(I137,1)))*($M$1-$L$1)+($M$1-MOD(I137,1))+(MOD(J137,1)-$L$1),0))</f>
        <v>4.5879629629780538E-2</v>
      </c>
      <c r="U137" s="6"/>
      <c r="V137" s="6"/>
      <c r="W137" s="6"/>
      <c r="X137" s="6"/>
      <c r="Y137" s="6"/>
      <c r="Z137" s="6"/>
      <c r="AA137" s="6"/>
      <c r="AB137" s="6"/>
      <c r="AC137" s="7">
        <f t="shared" si="30"/>
        <v>0.12042824074160308</v>
      </c>
      <c r="AD137" s="8">
        <f t="shared" si="23"/>
        <v>0.12042824074160308</v>
      </c>
      <c r="AF137" s="13">
        <f t="shared" si="24"/>
        <v>4.5879629629780538E-2</v>
      </c>
    </row>
    <row r="138" spans="1:32" ht="15">
      <c r="A138" s="49" t="s">
        <v>154</v>
      </c>
      <c r="B138" s="50"/>
      <c r="C138" s="50"/>
      <c r="D138" s="51"/>
      <c r="E138" s="4">
        <v>34</v>
      </c>
      <c r="F138" s="12">
        <v>41661.510162037033</v>
      </c>
      <c r="G138" s="12">
        <v>41662.676828703705</v>
      </c>
      <c r="H138" s="12">
        <v>41662.589444444442</v>
      </c>
      <c r="I138" s="58">
        <f>IF(ISNUMBER(MATCH(TRUNC(F138),Праздники,0)),TRUNC(F138)+1+$L$1,TRUNC(F138)+MAX(MOD(F138,1),$L$1))</f>
        <v>41661.510162037033</v>
      </c>
      <c r="J138" s="57">
        <f>IF(ISNUMBER(MATCH(TRUNC(H138),Праздники,0)),TRUNC(H138)-1+$M$1,TRUNC(H138)+MIN(MOD(H138,1),$M$1))-SUMPRODUCT((TRUNC(F138)&lt;Праздники)*(TRUNC(H138)&gt;Праздники))</f>
        <v>41662.589444444442</v>
      </c>
      <c r="K138" s="43">
        <v>16</v>
      </c>
      <c r="L138" s="39">
        <v>13.90277777</v>
      </c>
      <c r="M138" s="40">
        <v>0</v>
      </c>
      <c r="N138" s="40">
        <v>0</v>
      </c>
      <c r="O138" s="22">
        <f t="shared" si="25"/>
        <v>0</v>
      </c>
      <c r="P138" s="29">
        <f t="shared" si="29"/>
        <v>0.57928240740875481</v>
      </c>
      <c r="Q138" s="6">
        <f t="shared" si="26"/>
        <v>22</v>
      </c>
      <c r="R138" s="6">
        <f t="shared" si="27"/>
        <v>12</v>
      </c>
      <c r="S138" s="6">
        <f t="shared" si="28"/>
        <v>14</v>
      </c>
      <c r="T138" s="9">
        <f>IF(O138=1,((NETWORKDAYS(I138,J138,Праздники)-1)*($M$1-$L$1)+MIN(MAX(MOD(J138,1),(WEEKDAY(J138,2)&gt;5)*$M$1,$L$1),$M$1)-MIN(MAX(MOD(I138,1)*(WEEKDAY(I138,2)&lt;6),$L$1),$M$1)),MAX((TRUNC(J138-I138)-(MOD(J138,1)&gt;MOD(I138,1)))*($M$1-$L$1)+($M$1-MOD(I138,1))+(MOD(J138,1)-$L$1),0))</f>
        <v>0.57928240740875481</v>
      </c>
      <c r="U138" s="6"/>
      <c r="V138" s="6"/>
      <c r="W138" s="6"/>
      <c r="X138" s="6"/>
      <c r="Y138" s="6"/>
      <c r="Z138" s="6"/>
      <c r="AA138" s="6"/>
      <c r="AB138" s="6"/>
      <c r="AC138" s="7">
        <f t="shared" si="30"/>
        <v>0.57928240740875481</v>
      </c>
      <c r="AD138" s="8">
        <f t="shared" si="23"/>
        <v>0.57928240740875481</v>
      </c>
      <c r="AF138" s="13">
        <f t="shared" si="24"/>
        <v>0.57928240740875481</v>
      </c>
    </row>
    <row r="139" spans="1:32" ht="15">
      <c r="A139" s="52" t="s">
        <v>26</v>
      </c>
      <c r="B139" s="50"/>
      <c r="C139" s="50"/>
      <c r="D139" s="51"/>
      <c r="E139" s="3">
        <v>34</v>
      </c>
      <c r="F139" s="12">
        <v>41662.426192129627</v>
      </c>
      <c r="G139" s="12">
        <v>41663.592858796292</v>
      </c>
      <c r="H139" s="12">
        <v>41662.657037037032</v>
      </c>
      <c r="I139" s="58">
        <f>IF(ISNUMBER(MATCH(TRUNC(F139),Праздники,0)),TRUNC(F139)+1+$L$1,TRUNC(F139)+MAX(MOD(F139,1),$L$1))</f>
        <v>41662.426192129627</v>
      </c>
      <c r="J139" s="57">
        <f>IF(ISNUMBER(MATCH(TRUNC(H139),Праздники,0)),TRUNC(H139)-1+$M$1,TRUNC(H139)+MIN(MOD(H139,1),$M$1))-SUMPRODUCT((TRUNC(F139)&lt;Праздники)*(TRUNC(H139)&gt;Праздники))</f>
        <v>41662.657037037032</v>
      </c>
      <c r="K139" s="41">
        <v>16</v>
      </c>
      <c r="L139" s="36">
        <v>5.5402777700000003</v>
      </c>
      <c r="M139" s="37">
        <v>0</v>
      </c>
      <c r="N139" s="37">
        <v>0</v>
      </c>
      <c r="O139" s="22">
        <f t="shared" si="25"/>
        <v>0</v>
      </c>
      <c r="P139" s="29">
        <f t="shared" si="29"/>
        <v>0.23084490740438923</v>
      </c>
      <c r="Q139" s="6">
        <f t="shared" si="26"/>
        <v>23</v>
      </c>
      <c r="R139" s="6">
        <f t="shared" si="27"/>
        <v>10</v>
      </c>
      <c r="S139" s="6">
        <f t="shared" si="28"/>
        <v>13</v>
      </c>
      <c r="T139" s="9">
        <f>IF(O139=1,((NETWORKDAYS(I139,J139,Праздники)-1)*($M$1-$L$1)+MIN(MAX(MOD(J139,1),(WEEKDAY(J139,2)&gt;5)*$M$1,$L$1),$M$1)-MIN(MAX(MOD(I139,1)*(WEEKDAY(I139,2)&lt;6),$L$1),$M$1)),MAX((TRUNC(J139-I139)-(MOD(J139,1)&gt;MOD(I139,1)))*($M$1-$L$1)+($M$1-MOD(I139,1))+(MOD(J139,1)-$L$1),0))</f>
        <v>0.23084490740438923</v>
      </c>
      <c r="U139" s="6"/>
      <c r="V139" s="6"/>
      <c r="W139" s="6"/>
      <c r="X139" s="6"/>
      <c r="Y139" s="6"/>
      <c r="Z139" s="6"/>
      <c r="AA139" s="6"/>
      <c r="AB139" s="6"/>
      <c r="AC139" s="7">
        <f t="shared" si="30"/>
        <v>0.23084490740438923</v>
      </c>
      <c r="AD139" s="8">
        <f t="shared" si="23"/>
        <v>0.23084490740438923</v>
      </c>
      <c r="AF139" s="13">
        <f t="shared" si="24"/>
        <v>0.23084490740438923</v>
      </c>
    </row>
    <row r="140" spans="1:32" ht="15">
      <c r="A140" s="49" t="s">
        <v>123</v>
      </c>
      <c r="B140" s="50"/>
      <c r="C140" s="50"/>
      <c r="D140" s="51"/>
      <c r="E140" s="4">
        <v>18</v>
      </c>
      <c r="F140" s="12">
        <v>41650.816990740735</v>
      </c>
      <c r="G140" s="12">
        <v>41671.816990740735</v>
      </c>
      <c r="H140" s="12">
        <v>41662.668067129627</v>
      </c>
      <c r="I140" s="58">
        <f>IF(ISNUMBER(MATCH(TRUNC(F140),Праздники,0)),TRUNC(F140)+1+$L$1,TRUNC(F140)+MAX(MOD(F140,1),$L$1))</f>
        <v>41650.816990740735</v>
      </c>
      <c r="J140" s="57">
        <f>IF(ISNUMBER(MATCH(TRUNC(H140),Праздники,0)),TRUNC(H140)-1+$M$1,TRUNC(H140)+MIN(MOD(H140,1),$M$1))-SUMPRODUCT((TRUNC(F140)&lt;Праздники)*(TRUNC(H140)&gt;Праздники))</f>
        <v>41662.668067129627</v>
      </c>
      <c r="K140" s="43">
        <v>504</v>
      </c>
      <c r="L140" s="39">
        <v>284.42583332999999</v>
      </c>
      <c r="M140" s="40">
        <v>0</v>
      </c>
      <c r="N140" s="40">
        <v>0</v>
      </c>
      <c r="O140" s="22">
        <f t="shared" si="25"/>
        <v>1</v>
      </c>
      <c r="P140" s="29">
        <f t="shared" si="29"/>
        <v>4.2930671296271612</v>
      </c>
      <c r="Q140" s="6">
        <f t="shared" si="26"/>
        <v>11</v>
      </c>
      <c r="R140" s="6">
        <f t="shared" si="27"/>
        <v>19</v>
      </c>
      <c r="S140" s="6">
        <f t="shared" si="28"/>
        <v>36</v>
      </c>
      <c r="T140" s="9">
        <f>IF(O140=1,((NETWORKDAYS(I140,J140,Праздники)-1)*($M$1-$L$1)+MIN(MAX(MOD(J140,1),(WEEKDAY(J140,2)&gt;5)*$M$1,$L$1),$M$1)-MIN(MAX(MOD(I140,1)*(WEEKDAY(I140,2)&lt;6),$L$1),$M$1)),MAX((TRUNC(J140-I140)-(MOD(J140,1)&gt;MOD(I140,1)))*($M$1-$L$1)+($M$1-MOD(I140,1))+(MOD(J140,1)-$L$1),0))</f>
        <v>4.2930671296271612</v>
      </c>
      <c r="U140" s="6"/>
      <c r="V140" s="6"/>
      <c r="W140" s="6"/>
      <c r="X140" s="6"/>
      <c r="Y140" s="6"/>
      <c r="Z140" s="6"/>
      <c r="AA140" s="6"/>
      <c r="AB140" s="6"/>
      <c r="AC140" s="7">
        <f t="shared" si="30"/>
        <v>4.2930671296271612</v>
      </c>
      <c r="AD140" s="8">
        <f t="shared" si="23"/>
        <v>4.8510763888916699</v>
      </c>
      <c r="AF140" s="13">
        <f t="shared" si="24"/>
        <v>4.2930671296271612</v>
      </c>
    </row>
    <row r="141" spans="1:32" ht="15">
      <c r="A141" s="52" t="s">
        <v>124</v>
      </c>
      <c r="B141" s="50"/>
      <c r="C141" s="50"/>
      <c r="D141" s="51"/>
      <c r="E141" s="3">
        <v>18</v>
      </c>
      <c r="F141" s="12">
        <v>41649.521354166667</v>
      </c>
      <c r="G141" s="12">
        <v>41670.521354166667</v>
      </c>
      <c r="H141" s="12">
        <v>41662.699606481481</v>
      </c>
      <c r="I141" s="58">
        <f>IF(ISNUMBER(MATCH(TRUNC(F141),Праздники,0)),TRUNC(F141)+1+$L$1,TRUNC(F141)+MAX(MOD(F141,1),$L$1))</f>
        <v>41649.521354166667</v>
      </c>
      <c r="J141" s="57">
        <f>IF(ISNUMBER(MATCH(TRUNC(H141),Праздники,0)),TRUNC(H141)-1+$M$1,TRUNC(H141)+MIN(MOD(H141,1),$M$1))-SUMPRODUCT((TRUNC(F141)&lt;Праздники)*(TRUNC(H141)&gt;Праздники))</f>
        <v>41662.699606481481</v>
      </c>
      <c r="K141" s="41">
        <v>504</v>
      </c>
      <c r="L141" s="36">
        <v>316.27805554999998</v>
      </c>
      <c r="M141" s="37">
        <v>0</v>
      </c>
      <c r="N141" s="37">
        <v>0</v>
      </c>
      <c r="O141" s="22">
        <f t="shared" si="25"/>
        <v>1</v>
      </c>
      <c r="P141" s="29">
        <f t="shared" si="29"/>
        <v>4.6782523148140172</v>
      </c>
      <c r="Q141" s="6">
        <f t="shared" si="26"/>
        <v>10</v>
      </c>
      <c r="R141" s="6">
        <f t="shared" si="27"/>
        <v>12</v>
      </c>
      <c r="S141" s="6">
        <f t="shared" si="28"/>
        <v>30</v>
      </c>
      <c r="T141" s="9">
        <f>IF(O141=1,((NETWORKDAYS(I141,J141,Праздники)-1)*($M$1-$L$1)+MIN(MAX(MOD(J141,1),(WEEKDAY(J141,2)&gt;5)*$M$1,$L$1),$M$1)-MIN(MAX(MOD(I141,1)*(WEEKDAY(I141,2)&lt;6),$L$1),$M$1)),MAX((TRUNC(J141-I141)-(MOD(J141,1)&gt;MOD(I141,1)))*($M$1-$L$1)+($M$1-MOD(I141,1))+(MOD(J141,1)-$L$1),0))</f>
        <v>4.6782523148140172</v>
      </c>
      <c r="U141" s="6"/>
      <c r="V141" s="6"/>
      <c r="W141" s="6"/>
      <c r="X141" s="6"/>
      <c r="Y141" s="6"/>
      <c r="Z141" s="6"/>
      <c r="AA141" s="6"/>
      <c r="AB141" s="6"/>
      <c r="AC141" s="7">
        <f t="shared" si="30"/>
        <v>4.6782523148140172</v>
      </c>
      <c r="AD141" s="8">
        <f t="shared" si="23"/>
        <v>4.6782523148140172</v>
      </c>
      <c r="AF141" s="13">
        <f t="shared" si="24"/>
        <v>4.6782523148140172</v>
      </c>
    </row>
    <row r="142" spans="1:32" ht="15">
      <c r="A142" s="49" t="s">
        <v>125</v>
      </c>
      <c r="B142" s="50"/>
      <c r="C142" s="50"/>
      <c r="D142" s="51"/>
      <c r="E142" s="4">
        <v>18</v>
      </c>
      <c r="F142" s="12">
        <v>41649.401527777773</v>
      </c>
      <c r="G142" s="12">
        <v>41670.401527777773</v>
      </c>
      <c r="H142" s="12">
        <v>41662.701967592591</v>
      </c>
      <c r="I142" s="58">
        <f>IF(ISNUMBER(MATCH(TRUNC(F142),Праздники,0)),TRUNC(F142)+1+$L$1,TRUNC(F142)+MAX(MOD(F142,1),$L$1))</f>
        <v>41649.401527777773</v>
      </c>
      <c r="J142" s="57">
        <f>IF(ISNUMBER(MATCH(TRUNC(H142),Праздники,0)),TRUNC(H142)-1+$M$1,TRUNC(H142)+MIN(MOD(H142,1),$M$1))-SUMPRODUCT((TRUNC(F142)&lt;Праздники)*(TRUNC(H142)&gt;Праздники))</f>
        <v>41662.701967592591</v>
      </c>
      <c r="K142" s="43">
        <v>504</v>
      </c>
      <c r="L142" s="39">
        <v>319.21055554999998</v>
      </c>
      <c r="M142" s="40">
        <v>0</v>
      </c>
      <c r="N142" s="40">
        <v>0</v>
      </c>
      <c r="O142" s="22">
        <f t="shared" si="25"/>
        <v>1</v>
      </c>
      <c r="P142" s="29">
        <f t="shared" si="29"/>
        <v>4.8004398148186738</v>
      </c>
      <c r="Q142" s="6">
        <f t="shared" si="26"/>
        <v>10</v>
      </c>
      <c r="R142" s="6">
        <f t="shared" si="27"/>
        <v>9</v>
      </c>
      <c r="S142" s="6">
        <f t="shared" si="28"/>
        <v>38</v>
      </c>
      <c r="T142" s="9">
        <f>IF(O142=1,((NETWORKDAYS(I142,J142,Праздники)-1)*($M$1-$L$1)+MIN(MAX(MOD(J142,1),(WEEKDAY(J142,2)&gt;5)*$M$1,$L$1),$M$1)-MIN(MAX(MOD(I142,1)*(WEEKDAY(I142,2)&lt;6),$L$1),$M$1)),MAX((TRUNC(J142-I142)-(MOD(J142,1)&gt;MOD(I142,1)))*($M$1-$L$1)+($M$1-MOD(I142,1))+(MOD(J142,1)-$L$1),0))</f>
        <v>4.8004398148186738</v>
      </c>
      <c r="U142" s="6"/>
      <c r="V142" s="6"/>
      <c r="W142" s="6"/>
      <c r="X142" s="6"/>
      <c r="Y142" s="6"/>
      <c r="Z142" s="6"/>
      <c r="AA142" s="6"/>
      <c r="AB142" s="6"/>
      <c r="AC142" s="7">
        <f t="shared" si="30"/>
        <v>4.8004398148186738</v>
      </c>
      <c r="AD142" s="8">
        <f t="shared" si="23"/>
        <v>4.8004398148186738</v>
      </c>
      <c r="AF142" s="13">
        <f t="shared" si="24"/>
        <v>4.8004398148186738</v>
      </c>
    </row>
    <row r="143" spans="1:32" ht="15">
      <c r="A143" s="52" t="s">
        <v>126</v>
      </c>
      <c r="B143" s="50"/>
      <c r="C143" s="50"/>
      <c r="D143" s="51"/>
      <c r="E143" s="3">
        <v>18</v>
      </c>
      <c r="F143" s="12">
        <v>41649.400856481479</v>
      </c>
      <c r="G143" s="12">
        <v>41670.400856481479</v>
      </c>
      <c r="H143" s="12">
        <v>41662.703402777777</v>
      </c>
      <c r="I143" s="58">
        <f>IF(ISNUMBER(MATCH(TRUNC(F143),Праздники,0)),TRUNC(F143)+1+$L$1,TRUNC(F143)+MAX(MOD(F143,1),$L$1))</f>
        <v>41649.400856481479</v>
      </c>
      <c r="J143" s="57">
        <f>IF(ISNUMBER(MATCH(TRUNC(H143),Праздники,0)),TRUNC(H143)-1+$M$1,TRUNC(H143)+MIN(MOD(H143,1),$M$1))-SUMPRODUCT((TRUNC(F143)&lt;Праздники)*(TRUNC(H143)&gt;Праздники))</f>
        <v>41662.703402777777</v>
      </c>
      <c r="K143" s="41">
        <v>504</v>
      </c>
      <c r="L143" s="36">
        <v>319.26111111</v>
      </c>
      <c r="M143" s="37">
        <v>0</v>
      </c>
      <c r="N143" s="37">
        <v>0</v>
      </c>
      <c r="O143" s="22">
        <f t="shared" si="25"/>
        <v>1</v>
      </c>
      <c r="P143" s="29">
        <f t="shared" si="29"/>
        <v>4.8025462962978054</v>
      </c>
      <c r="Q143" s="6">
        <f t="shared" si="26"/>
        <v>10</v>
      </c>
      <c r="R143" s="6">
        <f t="shared" si="27"/>
        <v>9</v>
      </c>
      <c r="S143" s="6">
        <f t="shared" si="28"/>
        <v>37</v>
      </c>
      <c r="T143" s="9">
        <f>IF(O143=1,((NETWORKDAYS(I143,J143,Праздники)-1)*($M$1-$L$1)+MIN(MAX(MOD(J143,1),(WEEKDAY(J143,2)&gt;5)*$M$1,$L$1),$M$1)-MIN(MAX(MOD(I143,1)*(WEEKDAY(I143,2)&lt;6),$L$1),$M$1)),MAX((TRUNC(J143-I143)-(MOD(J143,1)&gt;MOD(I143,1)))*($M$1-$L$1)+($M$1-MOD(I143,1))+(MOD(J143,1)-$L$1),0))</f>
        <v>4.8025462962978054</v>
      </c>
      <c r="U143" s="6"/>
      <c r="V143" s="6"/>
      <c r="W143" s="6"/>
      <c r="X143" s="6"/>
      <c r="Y143" s="6"/>
      <c r="Z143" s="6"/>
      <c r="AA143" s="6"/>
      <c r="AB143" s="6"/>
      <c r="AC143" s="7">
        <f t="shared" si="30"/>
        <v>4.8025462962978054</v>
      </c>
      <c r="AD143" s="8">
        <f t="shared" si="23"/>
        <v>4.8025462962978054</v>
      </c>
      <c r="AF143" s="13">
        <f t="shared" si="24"/>
        <v>4.8025462962978054</v>
      </c>
    </row>
    <row r="144" spans="1:32" ht="15">
      <c r="A144" s="49" t="s">
        <v>127</v>
      </c>
      <c r="B144" s="50"/>
      <c r="C144" s="50"/>
      <c r="D144" s="51"/>
      <c r="E144" s="4">
        <v>18</v>
      </c>
      <c r="F144" s="12">
        <v>41649.396782407406</v>
      </c>
      <c r="G144" s="12">
        <v>41670.396782407406</v>
      </c>
      <c r="H144" s="12">
        <v>41662.70585648148</v>
      </c>
      <c r="I144" s="58">
        <f>IF(ISNUMBER(MATCH(TRUNC(F144),Праздники,0)),TRUNC(F144)+1+$L$1,TRUNC(F144)+MAX(MOD(F144,1),$L$1))</f>
        <v>41649.396782407406</v>
      </c>
      <c r="J144" s="57">
        <f>IF(ISNUMBER(MATCH(TRUNC(H144),Праздники,0)),TRUNC(H144)-1+$M$1,TRUNC(H144)+MIN(MOD(H144,1),$M$1))-SUMPRODUCT((TRUNC(F144)&lt;Праздники)*(TRUNC(H144)&gt;Праздники))</f>
        <v>41662.70585648148</v>
      </c>
      <c r="K144" s="43">
        <v>504</v>
      </c>
      <c r="L144" s="39">
        <v>319.41777776999999</v>
      </c>
      <c r="M144" s="40">
        <v>0</v>
      </c>
      <c r="N144" s="40">
        <v>0</v>
      </c>
      <c r="O144" s="22">
        <f t="shared" si="25"/>
        <v>1</v>
      </c>
      <c r="P144" s="29">
        <f t="shared" si="29"/>
        <v>4.8090740740735782</v>
      </c>
      <c r="Q144" s="6">
        <f t="shared" si="26"/>
        <v>10</v>
      </c>
      <c r="R144" s="6">
        <f t="shared" si="27"/>
        <v>9</v>
      </c>
      <c r="S144" s="6">
        <f t="shared" si="28"/>
        <v>31</v>
      </c>
      <c r="T144" s="9">
        <f>IF(O144=1,((NETWORKDAYS(I144,J144,Праздники)-1)*($M$1-$L$1)+MIN(MAX(MOD(J144,1),(WEEKDAY(J144,2)&gt;5)*$M$1,$L$1),$M$1)-MIN(MAX(MOD(I144,1)*(WEEKDAY(I144,2)&lt;6),$L$1),$M$1)),MAX((TRUNC(J144-I144)-(MOD(J144,1)&gt;MOD(I144,1)))*($M$1-$L$1)+($M$1-MOD(I144,1))+(MOD(J144,1)-$L$1),0))</f>
        <v>4.8090740740735782</v>
      </c>
      <c r="U144" s="6"/>
      <c r="V144" s="6"/>
      <c r="W144" s="6"/>
      <c r="X144" s="6"/>
      <c r="Y144" s="6"/>
      <c r="Z144" s="6"/>
      <c r="AA144" s="6"/>
      <c r="AB144" s="6"/>
      <c r="AC144" s="7">
        <f t="shared" si="30"/>
        <v>4.8090740740735782</v>
      </c>
      <c r="AD144" s="8">
        <f t="shared" si="23"/>
        <v>4.8090740740735782</v>
      </c>
      <c r="AF144" s="13">
        <f t="shared" si="24"/>
        <v>4.8090740740735782</v>
      </c>
    </row>
    <row r="145" spans="1:32" ht="15">
      <c r="A145" s="52" t="s">
        <v>128</v>
      </c>
      <c r="B145" s="50"/>
      <c r="C145" s="50"/>
      <c r="D145" s="51"/>
      <c r="E145" s="3">
        <v>18</v>
      </c>
      <c r="F145" s="12">
        <v>41649.394953703704</v>
      </c>
      <c r="G145" s="12">
        <v>41670.394953703704</v>
      </c>
      <c r="H145" s="12">
        <v>41662.707384259258</v>
      </c>
      <c r="I145" s="58">
        <f>IF(ISNUMBER(MATCH(TRUNC(F145),Праздники,0)),TRUNC(F145)+1+$L$1,TRUNC(F145)+MAX(MOD(F145,1),$L$1))</f>
        <v>41649.394953703704</v>
      </c>
      <c r="J145" s="57">
        <f>IF(ISNUMBER(MATCH(TRUNC(H145),Праздники,0)),TRUNC(H145)-1+$M$1,TRUNC(H145)+MIN(MOD(H145,1),$M$1))-SUMPRODUCT((TRUNC(F145)&lt;Праздники)*(TRUNC(H145)&gt;Праздники))</f>
        <v>41662.707384259258</v>
      </c>
      <c r="K145" s="41">
        <v>504</v>
      </c>
      <c r="L145" s="36">
        <v>319.49833332999998</v>
      </c>
      <c r="M145" s="37">
        <v>0</v>
      </c>
      <c r="N145" s="37">
        <v>0</v>
      </c>
      <c r="O145" s="22">
        <f t="shared" si="25"/>
        <v>1</v>
      </c>
      <c r="P145" s="29">
        <f t="shared" si="29"/>
        <v>4.812430555553874</v>
      </c>
      <c r="Q145" s="6">
        <f t="shared" si="26"/>
        <v>10</v>
      </c>
      <c r="R145" s="6">
        <f t="shared" si="27"/>
        <v>9</v>
      </c>
      <c r="S145" s="6">
        <f t="shared" si="28"/>
        <v>28</v>
      </c>
      <c r="T145" s="9">
        <f>IF(O145=1,((NETWORKDAYS(I145,J145,Праздники)-1)*($M$1-$L$1)+MIN(MAX(MOD(J145,1),(WEEKDAY(J145,2)&gt;5)*$M$1,$L$1),$M$1)-MIN(MAX(MOD(I145,1)*(WEEKDAY(I145,2)&lt;6),$L$1),$M$1)),MAX((TRUNC(J145-I145)-(MOD(J145,1)&gt;MOD(I145,1)))*($M$1-$L$1)+($M$1-MOD(I145,1))+(MOD(J145,1)-$L$1),0))</f>
        <v>4.812430555553874</v>
      </c>
      <c r="U145" s="6"/>
      <c r="V145" s="6"/>
      <c r="W145" s="6"/>
      <c r="X145" s="6"/>
      <c r="Y145" s="6"/>
      <c r="Z145" s="6"/>
      <c r="AA145" s="6"/>
      <c r="AB145" s="6"/>
      <c r="AC145" s="7">
        <f t="shared" si="30"/>
        <v>4.812430555553874</v>
      </c>
      <c r="AD145" s="8">
        <f t="shared" si="23"/>
        <v>4.812430555553874</v>
      </c>
      <c r="AF145" s="13">
        <f t="shared" si="24"/>
        <v>4.812430555553874</v>
      </c>
    </row>
    <row r="146" spans="1:32" ht="15">
      <c r="A146" s="49" t="s">
        <v>129</v>
      </c>
      <c r="B146" s="50"/>
      <c r="C146" s="50"/>
      <c r="D146" s="51"/>
      <c r="E146" s="4">
        <v>18</v>
      </c>
      <c r="F146" s="12">
        <v>41649.375659722224</v>
      </c>
      <c r="G146" s="12">
        <v>41670.375659722224</v>
      </c>
      <c r="H146" s="12">
        <v>41662.710231481477</v>
      </c>
      <c r="I146" s="58">
        <f>IF(ISNUMBER(MATCH(TRUNC(F146),Праздники,0)),TRUNC(F146)+1+$L$1,TRUNC(F146)+MAX(MOD(F146,1),$L$1))</f>
        <v>41649.375659722224</v>
      </c>
      <c r="J146" s="57">
        <f>IF(ISNUMBER(MATCH(TRUNC(H146),Праздники,0)),TRUNC(H146)-1+$M$1,TRUNC(H146)+MIN(MOD(H146,1),$M$1))-SUMPRODUCT((TRUNC(F146)&lt;Праздники)*(TRUNC(H146)&gt;Праздники))</f>
        <v>41662.710231481477</v>
      </c>
      <c r="K146" s="43">
        <v>504</v>
      </c>
      <c r="L146" s="39">
        <v>320.02972222</v>
      </c>
      <c r="M146" s="40">
        <v>0</v>
      </c>
      <c r="N146" s="40">
        <v>0</v>
      </c>
      <c r="O146" s="22">
        <f t="shared" si="25"/>
        <v>1</v>
      </c>
      <c r="P146" s="29">
        <f t="shared" si="29"/>
        <v>4.8345717592528672</v>
      </c>
      <c r="Q146" s="6">
        <f t="shared" si="26"/>
        <v>10</v>
      </c>
      <c r="R146" s="6">
        <f t="shared" si="27"/>
        <v>9</v>
      </c>
      <c r="S146" s="6">
        <f t="shared" si="28"/>
        <v>0</v>
      </c>
      <c r="T146" s="9">
        <f>IF(O146=1,((NETWORKDAYS(I146,J146,Праздники)-1)*($M$1-$L$1)+MIN(MAX(MOD(J146,1),(WEEKDAY(J146,2)&gt;5)*$M$1,$L$1),$M$1)-MIN(MAX(MOD(I146,1)*(WEEKDAY(I146,2)&lt;6),$L$1),$M$1)),MAX((TRUNC(J146-I146)-(MOD(J146,1)&gt;MOD(I146,1)))*($M$1-$L$1)+($M$1-MOD(I146,1))+(MOD(J146,1)-$L$1),0))</f>
        <v>4.8345717592528672</v>
      </c>
      <c r="U146" s="6"/>
      <c r="V146" s="6"/>
      <c r="W146" s="6"/>
      <c r="X146" s="6"/>
      <c r="Y146" s="6"/>
      <c r="Z146" s="6"/>
      <c r="AA146" s="6"/>
      <c r="AB146" s="6"/>
      <c r="AC146" s="7">
        <f t="shared" si="30"/>
        <v>4.8345717592528672</v>
      </c>
      <c r="AD146" s="8">
        <f t="shared" si="23"/>
        <v>4.8345717592528672</v>
      </c>
      <c r="AF146" s="13">
        <f t="shared" si="24"/>
        <v>4.8345717592528672</v>
      </c>
    </row>
    <row r="147" spans="1:32" ht="15">
      <c r="A147" s="52" t="s">
        <v>130</v>
      </c>
      <c r="B147" s="50"/>
      <c r="C147" s="50"/>
      <c r="D147" s="51"/>
      <c r="E147" s="3">
        <v>18</v>
      </c>
      <c r="F147" s="12">
        <v>41649.3675</v>
      </c>
      <c r="G147" s="12">
        <v>41670.3675</v>
      </c>
      <c r="H147" s="12">
        <v>41662.713067129625</v>
      </c>
      <c r="I147" s="58">
        <f>IF(ISNUMBER(MATCH(TRUNC(F147),Праздники,0)),TRUNC(F147)+1+$L$1,TRUNC(F147)+MAX(MOD(F147,1),$L$1))</f>
        <v>41649.375</v>
      </c>
      <c r="J147" s="57">
        <f>IF(ISNUMBER(MATCH(TRUNC(H147),Праздники,0)),TRUNC(H147)-1+$M$1,TRUNC(H147)+MIN(MOD(H147,1),$M$1))-SUMPRODUCT((TRUNC(F147)&lt;Праздники)*(TRUNC(H147)&gt;Праздники))</f>
        <v>41662.713067129625</v>
      </c>
      <c r="K147" s="41">
        <v>504</v>
      </c>
      <c r="L147" s="36">
        <v>320.29361110999997</v>
      </c>
      <c r="M147" s="37">
        <v>0</v>
      </c>
      <c r="N147" s="37">
        <v>0</v>
      </c>
      <c r="O147" s="22">
        <f t="shared" si="25"/>
        <v>1</v>
      </c>
      <c r="P147" s="29">
        <f t="shared" si="29"/>
        <v>4.838067129625415</v>
      </c>
      <c r="Q147" s="6">
        <f t="shared" si="26"/>
        <v>10</v>
      </c>
      <c r="R147" s="6">
        <f t="shared" si="27"/>
        <v>8</v>
      </c>
      <c r="S147" s="6">
        <f t="shared" si="28"/>
        <v>49</v>
      </c>
      <c r="T147" s="9">
        <f>IF(O147=1,((NETWORKDAYS(I147,J147,Праздники)-1)*($M$1-$L$1)+MIN(MAX(MOD(J147,1),(WEEKDAY(J147,2)&gt;5)*$M$1,$L$1),$M$1)-MIN(MAX(MOD(I147,1)*(WEEKDAY(I147,2)&lt;6),$L$1),$M$1)),MAX((TRUNC(J147-I147)-(MOD(J147,1)&gt;MOD(I147,1)))*($M$1-$L$1)+($M$1-MOD(I147,1))+(MOD(J147,1)-$L$1),0))</f>
        <v>4.838067129625415</v>
      </c>
      <c r="U147" s="6"/>
      <c r="V147" s="6"/>
      <c r="W147" s="6"/>
      <c r="X147" s="6"/>
      <c r="Y147" s="6"/>
      <c r="Z147" s="6"/>
      <c r="AA147" s="6"/>
      <c r="AB147" s="6"/>
      <c r="AC147" s="7">
        <f t="shared" si="30"/>
        <v>4.838067129625415</v>
      </c>
      <c r="AD147" s="8">
        <f t="shared" si="23"/>
        <v>4.8455671296251239</v>
      </c>
      <c r="AF147" s="13">
        <f t="shared" si="24"/>
        <v>4.838067129625415</v>
      </c>
    </row>
    <row r="148" spans="1:32" ht="15">
      <c r="A148" s="49" t="s">
        <v>131</v>
      </c>
      <c r="B148" s="50"/>
      <c r="C148" s="50"/>
      <c r="D148" s="51"/>
      <c r="E148" s="4">
        <v>18</v>
      </c>
      <c r="F148" s="12">
        <v>41649.365798611107</v>
      </c>
      <c r="G148" s="12">
        <v>41670.365798611107</v>
      </c>
      <c r="H148" s="12">
        <v>41662.71539351852</v>
      </c>
      <c r="I148" s="58">
        <f>IF(ISNUMBER(MATCH(TRUNC(F148),Праздники,0)),TRUNC(F148)+1+$L$1,TRUNC(F148)+MAX(MOD(F148,1),$L$1))</f>
        <v>41649.375</v>
      </c>
      <c r="J148" s="57">
        <f>IF(ISNUMBER(MATCH(TRUNC(H148),Праздники,0)),TRUNC(H148)-1+$M$1,TRUNC(H148)+MIN(MOD(H148,1),$M$1))-SUMPRODUCT((TRUNC(F148)&lt;Праздники)*(TRUNC(H148)&gt;Праздники))</f>
        <v>41662.71539351852</v>
      </c>
      <c r="K148" s="43">
        <v>504</v>
      </c>
      <c r="L148" s="39">
        <v>320.39027777000001</v>
      </c>
      <c r="M148" s="40">
        <v>0</v>
      </c>
      <c r="N148" s="40">
        <v>0</v>
      </c>
      <c r="O148" s="22">
        <f t="shared" si="25"/>
        <v>1</v>
      </c>
      <c r="P148" s="29">
        <f t="shared" si="29"/>
        <v>4.8403935185197042</v>
      </c>
      <c r="Q148" s="6">
        <f t="shared" si="26"/>
        <v>10</v>
      </c>
      <c r="R148" s="6">
        <f t="shared" si="27"/>
        <v>8</v>
      </c>
      <c r="S148" s="6">
        <f t="shared" si="28"/>
        <v>46</v>
      </c>
      <c r="T148" s="9">
        <f>IF(O148=1,((NETWORKDAYS(I148,J148,Праздники)-1)*($M$1-$L$1)+MIN(MAX(MOD(J148,1),(WEEKDAY(J148,2)&gt;5)*$M$1,$L$1),$M$1)-MIN(MAX(MOD(I148,1)*(WEEKDAY(I148,2)&lt;6),$L$1),$M$1)),MAX((TRUNC(J148-I148)-(MOD(J148,1)&gt;MOD(I148,1)))*($M$1-$L$1)+($M$1-MOD(I148,1))+(MOD(J148,1)-$L$1),0))</f>
        <v>4.8403935185197042</v>
      </c>
      <c r="U148" s="6"/>
      <c r="V148" s="6"/>
      <c r="W148" s="6"/>
      <c r="X148" s="6"/>
      <c r="Y148" s="6"/>
      <c r="Z148" s="6"/>
      <c r="AA148" s="6"/>
      <c r="AB148" s="6"/>
      <c r="AC148" s="7">
        <f t="shared" si="30"/>
        <v>4.8403935185197042</v>
      </c>
      <c r="AD148" s="8">
        <f t="shared" si="23"/>
        <v>4.8495949074131204</v>
      </c>
      <c r="AF148" s="13">
        <f t="shared" si="24"/>
        <v>4.8403935185197042</v>
      </c>
    </row>
    <row r="149" spans="1:32" ht="15">
      <c r="A149" s="52" t="s">
        <v>132</v>
      </c>
      <c r="B149" s="50"/>
      <c r="C149" s="50"/>
      <c r="D149" s="51"/>
      <c r="E149" s="3">
        <v>18</v>
      </c>
      <c r="F149" s="12">
        <v>41649.362870370365</v>
      </c>
      <c r="G149" s="12">
        <v>41670.362870370365</v>
      </c>
      <c r="H149" s="12">
        <v>41662.717777777776</v>
      </c>
      <c r="I149" s="58">
        <f>IF(ISNUMBER(MATCH(TRUNC(F149),Праздники,0)),TRUNC(F149)+1+$L$1,TRUNC(F149)+MAX(MOD(F149,1),$L$1))</f>
        <v>41649.375</v>
      </c>
      <c r="J149" s="57">
        <f>IF(ISNUMBER(MATCH(TRUNC(H149),Праздники,0)),TRUNC(H149)-1+$M$1,TRUNC(H149)+MIN(MOD(H149,1),$M$1))-SUMPRODUCT((TRUNC(F149)&lt;Праздники)*(TRUNC(H149)&gt;Праздники))</f>
        <v>41662.717777777776</v>
      </c>
      <c r="K149" s="41">
        <v>504</v>
      </c>
      <c r="L149" s="36">
        <v>320.51777777000001</v>
      </c>
      <c r="M149" s="37">
        <v>0</v>
      </c>
      <c r="N149" s="37">
        <v>0</v>
      </c>
      <c r="O149" s="22">
        <f t="shared" si="25"/>
        <v>1</v>
      </c>
      <c r="P149" s="29">
        <f t="shared" si="29"/>
        <v>4.8427777777760639</v>
      </c>
      <c r="Q149" s="6">
        <f t="shared" si="26"/>
        <v>10</v>
      </c>
      <c r="R149" s="6">
        <f t="shared" si="27"/>
        <v>8</v>
      </c>
      <c r="S149" s="6">
        <f t="shared" si="28"/>
        <v>42</v>
      </c>
      <c r="T149" s="9">
        <f>IF(O149=1,((NETWORKDAYS(I149,J149,Праздники)-1)*($M$1-$L$1)+MIN(MAX(MOD(J149,1),(WEEKDAY(J149,2)&gt;5)*$M$1,$L$1),$M$1)-MIN(MAX(MOD(I149,1)*(WEEKDAY(I149,2)&lt;6),$L$1),$M$1)),MAX((TRUNC(J149-I149)-(MOD(J149,1)&gt;MOD(I149,1)))*($M$1-$L$1)+($M$1-MOD(I149,1))+(MOD(J149,1)-$L$1),0))</f>
        <v>4.8427777777760639</v>
      </c>
      <c r="U149" s="6"/>
      <c r="V149" s="6"/>
      <c r="W149" s="6"/>
      <c r="X149" s="6"/>
      <c r="Y149" s="6"/>
      <c r="Z149" s="6"/>
      <c r="AA149" s="6"/>
      <c r="AB149" s="6"/>
      <c r="AC149" s="7">
        <f t="shared" si="30"/>
        <v>4.8427777777760639</v>
      </c>
      <c r="AD149" s="8">
        <f t="shared" si="23"/>
        <v>4.8549074074107921</v>
      </c>
      <c r="AF149" s="13">
        <f t="shared" si="24"/>
        <v>4.8427777777760639</v>
      </c>
    </row>
    <row r="150" spans="1:32">
      <c r="A150" s="53"/>
      <c r="B150" s="50"/>
      <c r="C150" s="50"/>
      <c r="D150" s="50"/>
      <c r="E150" s="5"/>
      <c r="F150" s="54"/>
      <c r="G150" s="50"/>
      <c r="H150" s="51"/>
      <c r="I150" s="20"/>
      <c r="J150" s="20"/>
      <c r="K150" s="47" t="s">
        <v>27</v>
      </c>
      <c r="L150" s="48"/>
      <c r="M150" s="48"/>
      <c r="N150" s="45">
        <v>170</v>
      </c>
      <c r="O150" s="23"/>
      <c r="P150" s="29"/>
    </row>
    <row r="151" spans="1:32" ht="409.5" hidden="1" customHeight="1">
      <c r="P151" s="29">
        <f t="shared" si="29"/>
        <v>0</v>
      </c>
    </row>
    <row r="152" spans="1:32" ht="120.25" customHeight="1"/>
  </sheetData>
  <mergeCells count="151">
    <mergeCell ref="A2:D2"/>
    <mergeCell ref="A3:D3"/>
    <mergeCell ref="A4:D4"/>
    <mergeCell ref="A5:D5"/>
    <mergeCell ref="A6:D6"/>
    <mergeCell ref="A7:D7"/>
    <mergeCell ref="A14:D14"/>
    <mergeCell ref="A15:D15"/>
    <mergeCell ref="A16:D16"/>
    <mergeCell ref="A17:D17"/>
    <mergeCell ref="A18:D18"/>
    <mergeCell ref="A19:D19"/>
    <mergeCell ref="A8:D8"/>
    <mergeCell ref="A9:D9"/>
    <mergeCell ref="A10:D10"/>
    <mergeCell ref="A11:D11"/>
    <mergeCell ref="A12:D12"/>
    <mergeCell ref="A13:D13"/>
    <mergeCell ref="A26:D26"/>
    <mergeCell ref="A27:D27"/>
    <mergeCell ref="A28:D28"/>
    <mergeCell ref="A29:D29"/>
    <mergeCell ref="A30:D30"/>
    <mergeCell ref="A31:D31"/>
    <mergeCell ref="A20:D20"/>
    <mergeCell ref="A21:D21"/>
    <mergeCell ref="A22:D22"/>
    <mergeCell ref="A23:D23"/>
    <mergeCell ref="A24:D24"/>
    <mergeCell ref="A25:D25"/>
    <mergeCell ref="A38:D38"/>
    <mergeCell ref="A39:D39"/>
    <mergeCell ref="A40:D40"/>
    <mergeCell ref="A41:D41"/>
    <mergeCell ref="A42:D42"/>
    <mergeCell ref="A43:D43"/>
    <mergeCell ref="A32:D32"/>
    <mergeCell ref="A33:D33"/>
    <mergeCell ref="A34:D34"/>
    <mergeCell ref="A35:D35"/>
    <mergeCell ref="A36:D36"/>
    <mergeCell ref="A37:D37"/>
    <mergeCell ref="A50:D50"/>
    <mergeCell ref="A51:D51"/>
    <mergeCell ref="A52:D52"/>
    <mergeCell ref="A53:D53"/>
    <mergeCell ref="A54:D54"/>
    <mergeCell ref="A55:D55"/>
    <mergeCell ref="A44:D44"/>
    <mergeCell ref="A45:D45"/>
    <mergeCell ref="A46:D46"/>
    <mergeCell ref="A47:D47"/>
    <mergeCell ref="A48:D48"/>
    <mergeCell ref="A49:D49"/>
    <mergeCell ref="A62:D62"/>
    <mergeCell ref="A63:D63"/>
    <mergeCell ref="A64:D64"/>
    <mergeCell ref="A65:D65"/>
    <mergeCell ref="A66:D66"/>
    <mergeCell ref="A67:D67"/>
    <mergeCell ref="A56:D56"/>
    <mergeCell ref="A57:D57"/>
    <mergeCell ref="A58:D58"/>
    <mergeCell ref="A59:D59"/>
    <mergeCell ref="A60:D60"/>
    <mergeCell ref="A61:D61"/>
    <mergeCell ref="A74:D74"/>
    <mergeCell ref="A75:D75"/>
    <mergeCell ref="A76:D76"/>
    <mergeCell ref="A77:D77"/>
    <mergeCell ref="A78:D78"/>
    <mergeCell ref="A79:D79"/>
    <mergeCell ref="A68:D68"/>
    <mergeCell ref="A69:D69"/>
    <mergeCell ref="A70:D70"/>
    <mergeCell ref="A71:D71"/>
    <mergeCell ref="A72:D72"/>
    <mergeCell ref="A73:D73"/>
    <mergeCell ref="A86:D86"/>
    <mergeCell ref="A87:D87"/>
    <mergeCell ref="A88:D88"/>
    <mergeCell ref="A89:D89"/>
    <mergeCell ref="A90:D90"/>
    <mergeCell ref="A91:D91"/>
    <mergeCell ref="A80:D80"/>
    <mergeCell ref="A81:D81"/>
    <mergeCell ref="A82:D82"/>
    <mergeCell ref="A83:D83"/>
    <mergeCell ref="A84:D84"/>
    <mergeCell ref="A85:D85"/>
    <mergeCell ref="A98:D98"/>
    <mergeCell ref="A99:D99"/>
    <mergeCell ref="A100:D100"/>
    <mergeCell ref="A101:D101"/>
    <mergeCell ref="A102:D102"/>
    <mergeCell ref="A103:D103"/>
    <mergeCell ref="A92:D92"/>
    <mergeCell ref="A93:D93"/>
    <mergeCell ref="A94:D94"/>
    <mergeCell ref="A95:D95"/>
    <mergeCell ref="A96:D96"/>
    <mergeCell ref="A97:D97"/>
    <mergeCell ref="A110:D110"/>
    <mergeCell ref="A111:D111"/>
    <mergeCell ref="A112:D112"/>
    <mergeCell ref="A113:D113"/>
    <mergeCell ref="A114:D114"/>
    <mergeCell ref="A115:D115"/>
    <mergeCell ref="A104:D104"/>
    <mergeCell ref="A105:D105"/>
    <mergeCell ref="A106:D106"/>
    <mergeCell ref="A107:D107"/>
    <mergeCell ref="A108:D108"/>
    <mergeCell ref="A109:D109"/>
    <mergeCell ref="A122:D122"/>
    <mergeCell ref="A123:D123"/>
    <mergeCell ref="A124:D124"/>
    <mergeCell ref="A125:D125"/>
    <mergeCell ref="A126:D126"/>
    <mergeCell ref="A127:D127"/>
    <mergeCell ref="A116:D116"/>
    <mergeCell ref="A117:D117"/>
    <mergeCell ref="A118:D118"/>
    <mergeCell ref="A119:D119"/>
    <mergeCell ref="A120:D120"/>
    <mergeCell ref="A121:D121"/>
    <mergeCell ref="A134:D134"/>
    <mergeCell ref="A135:D135"/>
    <mergeCell ref="A136:D136"/>
    <mergeCell ref="A137:D137"/>
    <mergeCell ref="A138:D138"/>
    <mergeCell ref="A139:D139"/>
    <mergeCell ref="A128:D128"/>
    <mergeCell ref="A129:D129"/>
    <mergeCell ref="A130:D130"/>
    <mergeCell ref="A131:D131"/>
    <mergeCell ref="A132:D132"/>
    <mergeCell ref="A133:D133"/>
    <mergeCell ref="K150:M150"/>
    <mergeCell ref="A146:D146"/>
    <mergeCell ref="A147:D147"/>
    <mergeCell ref="A148:D148"/>
    <mergeCell ref="A149:D149"/>
    <mergeCell ref="A150:D150"/>
    <mergeCell ref="F150:H150"/>
    <mergeCell ref="A140:D140"/>
    <mergeCell ref="A141:D141"/>
    <mergeCell ref="A142:D142"/>
    <mergeCell ref="A143:D143"/>
    <mergeCell ref="A144:D144"/>
    <mergeCell ref="A145:D145"/>
  </mergeCells>
  <phoneticPr fontId="0" type="noConversion"/>
  <pageMargins left="0.78740157480314965" right="0.78740157480314965" top="0.78740157480314965" bottom="1.289485039370079" header="0.78740157480314965" footer="0.78740157480314965"/>
  <pageSetup paperSize="9" orientation="portrait"/>
  <headerFooter alignWithMargins="0">
    <oddFooter>&amp;L&amp;C&amp;R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:A15"/>
    </sheetView>
  </sheetViews>
  <sheetFormatPr baseColWidth="10" defaultRowHeight="12" x14ac:dyDescent="0"/>
  <sheetData>
    <row r="1" spans="1:1">
      <c r="A1" t="s">
        <v>155</v>
      </c>
    </row>
    <row r="2" spans="1:1">
      <c r="A2" s="56">
        <v>41646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Отчёт по ТОиР ПКС</vt:lpstr>
      <vt:lpstr>Праздники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2014-01-24T12:31:11Z</dcterms:created>
  <dcterms:modified xsi:type="dcterms:W3CDTF">2014-02-01T07:00:15Z</dcterms:modified>
</cp:coreProperties>
</file>