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Расчет " sheetId="1" r:id="rId1"/>
    <sheet name="Сортаменты" sheetId="2" r:id="rId2"/>
    <sheet name="Лист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<sst xmlns="http://schemas.openxmlformats.org/spreadsheetml/2006/main" count="56" uniqueCount="29">
  <si>
    <t>ГОСТ 19771-93</t>
  </si>
  <si>
    <t>С-345</t>
  </si>
  <si>
    <t xml:space="preserve">ГОСТ  8639-82 </t>
  </si>
  <si>
    <t>ГОСТ 103-76</t>
  </si>
  <si>
    <t>С-255</t>
  </si>
  <si>
    <t>ГОСТ 10704-91</t>
  </si>
  <si>
    <t>ГОСТ 19425-74</t>
  </si>
  <si>
    <t>С</t>
  </si>
  <si>
    <t>ГОСТ 19772-93</t>
  </si>
  <si>
    <t>ГОСТ 19903-74</t>
  </si>
  <si>
    <t>ГОСТ 2590-88</t>
  </si>
  <si>
    <t>ГОСТ 2591-88</t>
  </si>
  <si>
    <t>ГОСТ 26020-83</t>
  </si>
  <si>
    <t>К</t>
  </si>
  <si>
    <t>ГОСТ 30245-2003</t>
  </si>
  <si>
    <t>ГОСТ 8239-89</t>
  </si>
  <si>
    <t>ГОСТ 8240-97</t>
  </si>
  <si>
    <t>С 255</t>
  </si>
  <si>
    <t>ГОСТ 8281-80</t>
  </si>
  <si>
    <t>ГОСТ 8509-93</t>
  </si>
  <si>
    <t>ГОСТ 8510-96</t>
  </si>
  <si>
    <t>ГОСТ 8568-77</t>
  </si>
  <si>
    <t>ГОСТ 8645-68</t>
  </si>
  <si>
    <t>СТО АСЧМ 20-93</t>
  </si>
  <si>
    <t>ТУ 36.26.11-5-89</t>
  </si>
  <si>
    <t>С-235</t>
  </si>
  <si>
    <r>
      <rPr>
        <sz val="8"/>
        <rFont val="Times New Roman"/>
        <family val="1"/>
      </rPr>
      <t>ТУ-1031-09/ВММ-1</t>
    </r>
  </si>
  <si>
    <t>Б</t>
  </si>
  <si>
    <t>ГОСТ 8278-83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</si>
</sst>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Fill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19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2" fillId="19" borderId="10" xfId="0" applyNumberFormat="1" applyFont="1" applyFill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1" fontId="42" fillId="19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13" borderId="10" xfId="0" applyFill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14" fontId="45" fillId="0" borderId="0" xfId="0" applyNumberFormat="1" applyFont="1" applyAlignment="1">
      <alignment/>
    </xf>
    <xf numFmtId="14" fontId="45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54;&#1073;&#1084;&#1077;&#1085;\&#1055;&#1088;&#1086;&#1080;&#1079;&#1074;&#1086;&#1076;&#1089;&#1090;&#1074;&#1077;&#1085;&#1085;&#1099;&#1081;%20&#1082;&#1086;&#1088;&#1087;&#1091;&#1089;\&#1054;&#1073;&#1097;&#1072;&#1103;\&#1055;&#1044;&#1054;\&#1055;&#1077;&#1088;&#1077;&#1089;&#1095;&#1077;&#1090;%20&#1079;&#1072;&#1082;&#1072;&#1079;&#1086;&#1074;\&#1041;&#1086;&#1083;&#1074;&#1072;&#1085;&#1082;&#1072;%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с чертежа"/>
      <sheetName val="Макрос"/>
      <sheetName val="Пересчет"/>
      <sheetName val="Сортаменты"/>
      <sheetName val="Прокат"/>
      <sheetName val="ТСС"/>
      <sheetName val="Заготовка"/>
      <sheetName val="Сборка+Сварка"/>
      <sheetName val="Е40-2-12"/>
      <sheetName val="Е40-2-11"/>
      <sheetName val="Е40-2-1"/>
      <sheetName val="Е40-2-2"/>
      <sheetName val="Е40-2-3"/>
      <sheetName val="Тех. Карта"/>
      <sheetName val="Е40-2-6"/>
      <sheetName val="Е40-2-9"/>
      <sheetName val="Е40-2-10"/>
      <sheetName val="Е22-1-34"/>
      <sheetName val="Е22-1-35"/>
      <sheetName val="Е22-1-36"/>
      <sheetName val="Е22-1-37"/>
      <sheetName val="Е22-1-38"/>
      <sheetName val="Е22-1-39"/>
      <sheetName val="Е22-1-40"/>
      <sheetName val="Е22-1-42"/>
      <sheetName val="Е22-1-44"/>
      <sheetName val="Условные шифры ЛКМ"/>
      <sheetName val="Е40-2-22"/>
      <sheetName val="Е40-2-21"/>
      <sheetName val="Е40-2-20"/>
      <sheetName val="Е40-2-19"/>
      <sheetName val="Е40-2-13"/>
      <sheetName val="Е40-2-18"/>
      <sheetName val="Е22-1-32"/>
      <sheetName val="Е40-2-14"/>
      <sheetName val="Е40-2-16"/>
      <sheetName val="Е40-2-17"/>
      <sheetName val="Е40-2-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5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21.140625" style="0" customWidth="1"/>
    <col min="2" max="2" width="27.421875" style="0" bestFit="1" customWidth="1"/>
    <col min="4" max="4" width="10.140625" style="0" bestFit="1" customWidth="1"/>
  </cols>
  <sheetData>
    <row r="1" spans="2:6" ht="15">
      <c r="B1" s="23"/>
      <c r="C1" s="24"/>
      <c r="D1" s="24"/>
      <c r="E1" s="25"/>
      <c r="F1" s="24"/>
    </row>
    <row r="2" spans="1:4" ht="15">
      <c r="A2" s="2"/>
      <c r="B2" s="1"/>
      <c r="D2" s="1"/>
    </row>
    <row r="8" ht="15">
      <c r="A8" s="3" t="s">
        <v>16</v>
      </c>
    </row>
    <row r="9" ht="15">
      <c r="A9" s="3" t="s">
        <v>9</v>
      </c>
    </row>
    <row r="10" ht="15">
      <c r="A10" s="3" t="s">
        <v>0</v>
      </c>
    </row>
    <row r="11" ht="15">
      <c r="A11" s="3" t="s">
        <v>23</v>
      </c>
    </row>
    <row r="12" ht="15">
      <c r="A12" s="3" t="s">
        <v>9</v>
      </c>
    </row>
    <row r="13" ht="15">
      <c r="A13" s="3" t="s">
        <v>23</v>
      </c>
    </row>
    <row r="14" ht="15">
      <c r="A14" s="3" t="s">
        <v>9</v>
      </c>
    </row>
    <row r="15" ht="15">
      <c r="A15" s="3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Y2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421875" style="0" bestFit="1" customWidth="1"/>
    <col min="2" max="2" width="27.421875" style="0" bestFit="1" customWidth="1"/>
    <col min="3" max="3" width="21.140625" style="0" bestFit="1" customWidth="1"/>
    <col min="4" max="4" width="10.140625" style="0" bestFit="1" customWidth="1"/>
    <col min="6" max="6" width="10.140625" style="0" bestFit="1" customWidth="1"/>
  </cols>
  <sheetData>
    <row r="1" spans="2:6" ht="15">
      <c r="B1" s="23"/>
      <c r="C1" s="24"/>
      <c r="D1" s="24"/>
      <c r="E1" s="25"/>
      <c r="F1" s="24"/>
    </row>
    <row r="3" spans="1:25" ht="15">
      <c r="A3" s="3" t="s">
        <v>2</v>
      </c>
      <c r="B3" s="4" t="str">
        <f aca="true" t="shared" si="0" ref="B3:B24">CONCATENATE(C3," (",D3,")")</f>
        <v>Труба кв. 180х180х8 (С-345)</v>
      </c>
      <c r="C3" s="5" t="str">
        <f>CONCATENATE("Труба кв. ",H3,"х",H3,"х",K3)</f>
        <v>Труба кв. 180х180х8</v>
      </c>
      <c r="D3" s="6" t="s">
        <v>1</v>
      </c>
      <c r="E3" s="5" t="e">
        <f>#VALUE!</f>
        <v>#VALUE!</v>
      </c>
      <c r="F3" s="5"/>
      <c r="G3" s="5" t="e">
        <f>#VALUE!</f>
        <v>#VALUE!</v>
      </c>
      <c r="H3" s="4">
        <v>180</v>
      </c>
      <c r="I3" s="4"/>
      <c r="J3" s="4"/>
      <c r="K3" s="4">
        <v>8</v>
      </c>
      <c r="L3" s="7" t="e">
        <v>#VALUE!</v>
      </c>
      <c r="M3" s="8" t="e">
        <v>#VALUE!</v>
      </c>
      <c r="N3" s="6"/>
      <c r="O3" s="6"/>
      <c r="P3" s="6"/>
      <c r="Q3" s="12"/>
      <c r="R3" s="7" t="e">
        <f aca="true" t="shared" si="1" ref="R3:R8">O3/1000*L3</f>
        <v>#VALUE!</v>
      </c>
      <c r="S3" s="9" t="e">
        <f aca="true" t="shared" si="2" ref="S3:S24">R3*SUM(P3:Q3)</f>
        <v>#VALUE!</v>
      </c>
      <c r="T3" s="12"/>
      <c r="U3" s="12"/>
      <c r="V3" s="7">
        <f>((T3*N3)+(U3*O3))*SUM(P3:Q3)</f>
        <v>0</v>
      </c>
      <c r="W3" s="10" t="e">
        <v>#VALUE!</v>
      </c>
      <c r="X3" s="10" t="e">
        <f>O3/1000*W3</f>
        <v>#VALUE!</v>
      </c>
      <c r="Y3" s="11" t="e">
        <f>SUM(P3:Q3)*X3</f>
        <v>#VALUE!</v>
      </c>
    </row>
    <row r="4" spans="1:25" ht="15">
      <c r="A4" s="3" t="s">
        <v>3</v>
      </c>
      <c r="B4" s="4" t="str">
        <f t="shared" si="0"/>
        <v>Полоса &gt;&lt; - 4х40 (С-255)</v>
      </c>
      <c r="C4" s="5" t="str">
        <f>CONCATENATE("Полоса &gt;&lt; - ",K4,"х",N4)</f>
        <v>Полоса &gt;&lt; - 4х40</v>
      </c>
      <c r="D4" s="6" t="s">
        <v>4</v>
      </c>
      <c r="E4" s="5"/>
      <c r="F4" s="5"/>
      <c r="G4" s="5"/>
      <c r="H4" s="4"/>
      <c r="I4" s="4"/>
      <c r="J4" s="4"/>
      <c r="K4" s="6">
        <v>4</v>
      </c>
      <c r="L4" s="13">
        <f>7.85*((K4/1000)*(N4/1000))*1000</f>
        <v>1.256</v>
      </c>
      <c r="M4" s="8">
        <f>(K4/10)*(N4/10)</f>
        <v>1.6</v>
      </c>
      <c r="N4" s="6">
        <v>40</v>
      </c>
      <c r="O4" s="6"/>
      <c r="P4" s="6"/>
      <c r="Q4" s="14"/>
      <c r="R4" s="7">
        <f t="shared" si="1"/>
        <v>0</v>
      </c>
      <c r="S4" s="9">
        <f t="shared" si="2"/>
        <v>0</v>
      </c>
      <c r="T4" s="15"/>
      <c r="U4" s="15"/>
      <c r="V4" s="7">
        <f>((T4*N4)+(U4*O4))*SUM(P4:Q4)</f>
        <v>0</v>
      </c>
      <c r="W4" s="10">
        <f>((N4/1000)*2)+((K4/1000)*2)</f>
        <v>0.088</v>
      </c>
      <c r="X4" s="10">
        <f>(O4/1000)*W4</f>
        <v>0</v>
      </c>
      <c r="Y4" s="11">
        <f>SUM(P4:Q4)*X4</f>
        <v>0</v>
      </c>
    </row>
    <row r="5" spans="1:25" ht="15">
      <c r="A5" s="3" t="s">
        <v>5</v>
      </c>
      <c r="B5" s="4" t="str">
        <f t="shared" si="0"/>
        <v>Труба Ø - 720х12 (С-345)</v>
      </c>
      <c r="C5" s="5" t="str">
        <f>CONCATENATE("Труба Ø - ",H5,"х",K5)</f>
        <v>Труба Ø - 720х12</v>
      </c>
      <c r="D5" s="6" t="s">
        <v>1</v>
      </c>
      <c r="E5" s="5"/>
      <c r="F5" s="5"/>
      <c r="G5" s="5"/>
      <c r="H5" s="4">
        <v>720</v>
      </c>
      <c r="I5" s="4"/>
      <c r="J5" s="4"/>
      <c r="K5" s="6">
        <v>12</v>
      </c>
      <c r="L5" s="16">
        <f>((H5/2)*(H5/2)*3.14)/1000*7.85-(((H5-K5-K5)/2)*((H5-K5-K5)/2))*3.14/1000*7.85</f>
        <v>209.41790400000036</v>
      </c>
      <c r="M5" s="8"/>
      <c r="N5" s="6"/>
      <c r="O5" s="6"/>
      <c r="P5" s="6"/>
      <c r="Q5" s="14"/>
      <c r="R5" s="7">
        <f t="shared" si="1"/>
        <v>0</v>
      </c>
      <c r="S5" s="9">
        <f t="shared" si="2"/>
        <v>0</v>
      </c>
      <c r="T5" s="15"/>
      <c r="U5" s="16"/>
      <c r="V5" s="7"/>
      <c r="W5" s="10">
        <f>(3.14*H5)/1000</f>
        <v>2.2608</v>
      </c>
      <c r="X5" s="10">
        <f>O5/1000*W5</f>
        <v>0</v>
      </c>
      <c r="Y5" s="11">
        <f>SUM(P5:Q5)*X5</f>
        <v>0</v>
      </c>
    </row>
    <row r="6" spans="1:25" ht="15">
      <c r="A6" s="3" t="s">
        <v>6</v>
      </c>
      <c r="B6" s="4" t="str">
        <f t="shared" si="0"/>
        <v>Швеллер 30С (С-345)</v>
      </c>
      <c r="C6" s="5" t="str">
        <f>CONCATENATE("Швеллер ",H6,I6,K6)</f>
        <v>Швеллер 30С</v>
      </c>
      <c r="D6" s="6" t="s">
        <v>1</v>
      </c>
      <c r="E6" s="5">
        <f>CODE(I6)</f>
        <v>209</v>
      </c>
      <c r="F6" s="5">
        <f>IF(K6=0,0,CODE(K6))</f>
        <v>0</v>
      </c>
      <c r="G6" s="17">
        <f>IF(E6+F6+H6=239,4,IF(E6+F6+H6=229,3,IF(E6+F6+H6=451,2,IF(E6+F6+H6=227,1))))</f>
        <v>4</v>
      </c>
      <c r="H6" s="18">
        <v>30</v>
      </c>
      <c r="I6" s="18" t="s">
        <v>7</v>
      </c>
      <c r="J6" s="18"/>
      <c r="K6" s="18"/>
      <c r="L6" s="7">
        <v>39.1</v>
      </c>
      <c r="M6" s="8">
        <v>49.6</v>
      </c>
      <c r="N6" s="6"/>
      <c r="O6" s="6"/>
      <c r="P6" s="6"/>
      <c r="Q6" s="6"/>
      <c r="R6" s="7">
        <f t="shared" si="1"/>
        <v>0</v>
      </c>
      <c r="S6" s="9">
        <f t="shared" si="2"/>
        <v>0</v>
      </c>
      <c r="T6" s="6"/>
      <c r="U6" s="6"/>
      <c r="V6" s="7">
        <f>((T6*N6)+(U6*O6))*SUM(P6:Q6)</f>
        <v>0</v>
      </c>
      <c r="W6" s="10">
        <v>0.898</v>
      </c>
      <c r="X6" s="10">
        <f>O6/1000*W6</f>
        <v>0</v>
      </c>
      <c r="Y6" s="11">
        <f>SUM(P6:Q6)*X6</f>
        <v>0</v>
      </c>
    </row>
    <row r="7" spans="1:25" ht="15">
      <c r="A7" s="3" t="s">
        <v>0</v>
      </c>
      <c r="B7" s="4" t="str">
        <f t="shared" si="0"/>
        <v>Уголок 100х100х7 (С-345)</v>
      </c>
      <c r="C7" s="5" t="str">
        <f>CONCATENATE("Уголок ",H7,"х",H7,"х",K7)</f>
        <v>Уголок 100х100х7</v>
      </c>
      <c r="D7" s="6" t="s">
        <v>1</v>
      </c>
      <c r="E7" s="5"/>
      <c r="F7" s="5"/>
      <c r="G7" s="5">
        <f>IF(K7=2.5,2,K7)</f>
        <v>7</v>
      </c>
      <c r="H7" s="4">
        <v>100</v>
      </c>
      <c r="I7" s="4"/>
      <c r="J7" s="4"/>
      <c r="K7" s="4">
        <v>7</v>
      </c>
      <c r="L7" s="7" t="e">
        <v>#VALUE!</v>
      </c>
      <c r="M7" s="8" t="e">
        <v>#VALUE!</v>
      </c>
      <c r="N7" s="6"/>
      <c r="O7" s="6"/>
      <c r="P7" s="6"/>
      <c r="Q7" s="6"/>
      <c r="R7" s="7" t="e">
        <f t="shared" si="1"/>
        <v>#VALUE!</v>
      </c>
      <c r="S7" s="9" t="e">
        <f t="shared" si="2"/>
        <v>#VALUE!</v>
      </c>
      <c r="T7" s="6"/>
      <c r="U7" s="6"/>
      <c r="V7" s="7">
        <f>((T7*N7)+(U7*O7))*SUM(P7:Q7)</f>
        <v>0</v>
      </c>
      <c r="W7" s="10" t="e">
        <v>#VALUE!</v>
      </c>
      <c r="X7" s="10" t="e">
        <f>O7/1000*W7</f>
        <v>#VALUE!</v>
      </c>
      <c r="Y7" s="11" t="e">
        <f>SUM(P7:Q7)*X7</f>
        <v>#VALUE!</v>
      </c>
    </row>
    <row r="8" spans="1:25" ht="15">
      <c r="A8" s="3" t="s">
        <v>8</v>
      </c>
      <c r="B8" s="4" t="str">
        <f t="shared" si="0"/>
        <v>Уголок 105х100х3 (С-345)</v>
      </c>
      <c r="C8" s="5" t="str">
        <f>CONCATENATE("Уголок ",H8,"х",I8,"х",K8)</f>
        <v>Уголок 105х100х3</v>
      </c>
      <c r="D8" s="6" t="s">
        <v>1</v>
      </c>
      <c r="E8" s="5" t="e">
        <f>#VALUE!</f>
        <v>#VALUE!</v>
      </c>
      <c r="F8" s="5">
        <f>IF(H8=70,69,H8)</f>
        <v>105</v>
      </c>
      <c r="G8" s="5" t="e">
        <f>#VALUE!</f>
        <v>#VALUE!</v>
      </c>
      <c r="H8" s="4">
        <v>105</v>
      </c>
      <c r="I8" s="4">
        <v>100</v>
      </c>
      <c r="J8" s="4"/>
      <c r="K8" s="4">
        <v>3</v>
      </c>
      <c r="L8" s="7" t="e">
        <v>#VALUE!</v>
      </c>
      <c r="M8" s="8" t="e">
        <v>#VALUE!</v>
      </c>
      <c r="N8" s="6"/>
      <c r="O8" s="6"/>
      <c r="P8" s="6"/>
      <c r="Q8" s="6"/>
      <c r="R8" s="7" t="e">
        <f t="shared" si="1"/>
        <v>#VALUE!</v>
      </c>
      <c r="S8" s="9" t="e">
        <f t="shared" si="2"/>
        <v>#VALUE!</v>
      </c>
      <c r="T8" s="6"/>
      <c r="U8" s="6"/>
      <c r="V8" s="7">
        <f>((T8*N8)+(U8*O8))*SUM(P8:Q8)</f>
        <v>0</v>
      </c>
      <c r="W8" s="10" t="e">
        <v>#VALUE!</v>
      </c>
      <c r="X8" s="10" t="e">
        <f>O8/1000*W8</f>
        <v>#VALUE!</v>
      </c>
      <c r="Y8" s="11" t="e">
        <f>SUM(P8:Q8)*X8</f>
        <v>#VALUE!</v>
      </c>
    </row>
    <row r="9" spans="1:25" ht="15">
      <c r="A9" s="3" t="s">
        <v>9</v>
      </c>
      <c r="B9" s="4" t="str">
        <f t="shared" si="0"/>
        <v>Лист S -  (С-345)</v>
      </c>
      <c r="C9" s="5" t="str">
        <f>CONCATENATE("Лист S - ",K9)</f>
        <v>Лист S - </v>
      </c>
      <c r="D9" s="6" t="s">
        <v>1</v>
      </c>
      <c r="E9" s="5"/>
      <c r="F9" s="5"/>
      <c r="G9" s="5"/>
      <c r="H9" s="4"/>
      <c r="I9" s="4"/>
      <c r="J9" s="4"/>
      <c r="K9" s="6"/>
      <c r="L9" s="13">
        <f>7.85*K9</f>
        <v>0</v>
      </c>
      <c r="M9" s="8"/>
      <c r="N9" s="6"/>
      <c r="O9" s="6"/>
      <c r="P9" s="6"/>
      <c r="Q9" s="14"/>
      <c r="R9" s="7">
        <f>(N9/1000)*(O9/1000)*L9</f>
        <v>0</v>
      </c>
      <c r="S9" s="9">
        <f t="shared" si="2"/>
        <v>0</v>
      </c>
      <c r="T9" s="19"/>
      <c r="U9" s="15"/>
      <c r="V9" s="7">
        <f>((T9*N9)+(U9*O9))*SUM(P9:Q9)</f>
        <v>0</v>
      </c>
      <c r="W9" s="10">
        <v>2</v>
      </c>
      <c r="X9" s="10">
        <f>(N9/1000)*(O9/1000)*W9</f>
        <v>0</v>
      </c>
      <c r="Y9" s="11">
        <f>SUM(P9:Q9)*X9</f>
        <v>0</v>
      </c>
    </row>
    <row r="10" spans="1:25" ht="15">
      <c r="A10" s="3" t="s">
        <v>10</v>
      </c>
      <c r="B10" s="4" t="str">
        <f t="shared" si="0"/>
        <v>Круг Ø - 100 (С-345)</v>
      </c>
      <c r="C10" s="5" t="str">
        <f>CONCATENATE("Круг Ø - ",H10)</f>
        <v>Круг Ø - 100</v>
      </c>
      <c r="D10" s="6" t="s">
        <v>1</v>
      </c>
      <c r="E10" s="5"/>
      <c r="F10" s="5"/>
      <c r="G10" s="5"/>
      <c r="H10" s="4">
        <v>100</v>
      </c>
      <c r="I10" s="4"/>
      <c r="J10" s="4"/>
      <c r="K10" s="6"/>
      <c r="L10" s="16">
        <f>(((H10/1000/2)*(H10/1000/2)*3.14)*7.85)*1000</f>
        <v>61.6225</v>
      </c>
      <c r="M10" s="8">
        <f>(H10/2/10)*(H10/2/10)*3.14</f>
        <v>78.5</v>
      </c>
      <c r="N10" s="6"/>
      <c r="O10" s="6"/>
      <c r="P10" s="6"/>
      <c r="Q10" s="14"/>
      <c r="R10" s="7">
        <f aca="true" t="shared" si="3" ref="R10:R19">O10/1000*L10</f>
        <v>0</v>
      </c>
      <c r="S10" s="9">
        <f t="shared" si="2"/>
        <v>0</v>
      </c>
      <c r="T10" s="15"/>
      <c r="U10" s="15"/>
      <c r="V10" s="7">
        <f>((T10*N10)+(U10*O10))*SUM(P10:Q10)</f>
        <v>0</v>
      </c>
      <c r="W10" s="10">
        <f>(3.14*H10)/1000</f>
        <v>0.314</v>
      </c>
      <c r="X10" s="10">
        <f>O10/1000*W10</f>
        <v>0</v>
      </c>
      <c r="Y10" s="11">
        <f>SUM(P10:Q10)*X10</f>
        <v>0</v>
      </c>
    </row>
    <row r="11" spans="1:25" ht="15">
      <c r="A11" s="3" t="s">
        <v>11</v>
      </c>
      <c r="B11" s="4" t="str">
        <f t="shared" si="0"/>
        <v>Квадрат □ - 100х100 (С-345)</v>
      </c>
      <c r="C11" s="5" t="str">
        <f>CONCATENATE("Квадрат □ - ",K11,"х",K11)</f>
        <v>Квадрат □ - 100х100</v>
      </c>
      <c r="D11" s="6" t="s">
        <v>1</v>
      </c>
      <c r="E11" s="5"/>
      <c r="F11" s="5"/>
      <c r="G11" s="5"/>
      <c r="H11" s="4"/>
      <c r="I11" s="4"/>
      <c r="J11" s="4"/>
      <c r="K11" s="6">
        <v>100</v>
      </c>
      <c r="L11" s="13">
        <f>7.85*((K11/1000)*(K11/1000))*1000</f>
        <v>78.50000000000001</v>
      </c>
      <c r="M11" s="8">
        <f>(K11/10)*(K11/10)</f>
        <v>100</v>
      </c>
      <c r="N11" s="6"/>
      <c r="O11" s="6"/>
      <c r="P11" s="6"/>
      <c r="Q11" s="14"/>
      <c r="R11" s="7">
        <f t="shared" si="3"/>
        <v>0</v>
      </c>
      <c r="S11" s="9">
        <f t="shared" si="2"/>
        <v>0</v>
      </c>
      <c r="T11" s="15"/>
      <c r="U11" s="15"/>
      <c r="V11" s="7">
        <f>((T11*N11)+(U11*O11))*SUM(P11:Q11)</f>
        <v>0</v>
      </c>
      <c r="W11" s="10">
        <f>(K11/1000)*4</f>
        <v>0.4</v>
      </c>
      <c r="X11" s="10">
        <f>O11/1000*W11</f>
        <v>0</v>
      </c>
      <c r="Y11" s="11">
        <f>SUM(P11:Q11)*X11</f>
        <v>0</v>
      </c>
    </row>
    <row r="12" spans="1:25" ht="15">
      <c r="A12" s="3" t="s">
        <v>12</v>
      </c>
      <c r="B12" s="4" t="str">
        <f t="shared" si="0"/>
        <v>Двутавр 20К1 (С-345)</v>
      </c>
      <c r="C12" s="5" t="str">
        <f>CONCATENATE("Двутавр ",H12,E12,K12)</f>
        <v>Двутавр 20К1</v>
      </c>
      <c r="D12" s="6" t="s">
        <v>1</v>
      </c>
      <c r="E12" s="5" t="str">
        <f>UPPER(I12)</f>
        <v>К</v>
      </c>
      <c r="F12" s="5">
        <f>CODE(I12)</f>
        <v>202</v>
      </c>
      <c r="G12" s="5">
        <f>IF(F12=228,17,IF(F12=196,15,IF(F12=216,10,IF(F12=202,5,IF(F12=193,1)))))</f>
        <v>5</v>
      </c>
      <c r="H12" s="18">
        <v>20</v>
      </c>
      <c r="I12" s="18" t="s">
        <v>13</v>
      </c>
      <c r="J12" s="18"/>
      <c r="K12" s="18">
        <v>1</v>
      </c>
      <c r="L12" s="7">
        <v>41.5</v>
      </c>
      <c r="M12" s="8">
        <v>52.82</v>
      </c>
      <c r="N12" s="6"/>
      <c r="O12" s="6"/>
      <c r="P12" s="6"/>
      <c r="Q12" s="6"/>
      <c r="R12" s="7">
        <f t="shared" si="3"/>
        <v>0</v>
      </c>
      <c r="S12" s="9">
        <f t="shared" si="2"/>
        <v>0</v>
      </c>
      <c r="T12" s="6"/>
      <c r="U12" s="6"/>
      <c r="V12" s="7">
        <f>((T12*N12)+(U12*O12))*SUM(P12:Q12)</f>
        <v>0</v>
      </c>
      <c r="W12" s="10">
        <v>1.15464</v>
      </c>
      <c r="X12" s="10">
        <f>O12/1000*W12</f>
        <v>0</v>
      </c>
      <c r="Y12" s="11">
        <f>SUM(P12:Q12)*X12</f>
        <v>0</v>
      </c>
    </row>
    <row r="13" spans="1:25" ht="15">
      <c r="A13" s="3" t="s">
        <v>14</v>
      </c>
      <c r="B13" s="4" t="str">
        <f t="shared" si="0"/>
        <v>Труба проф. 300х200х6 (С-345)</v>
      </c>
      <c r="C13" s="5" t="str">
        <f>CONCATENATE("Труба проф. ",H13,"х",I13,"х",K13)</f>
        <v>Труба проф. 300х200х6</v>
      </c>
      <c r="D13" s="6" t="s">
        <v>1</v>
      </c>
      <c r="E13" s="20" t="e">
        <f>#VALUE!</f>
        <v>#VALUE!</v>
      </c>
      <c r="F13" s="21" t="e">
        <f>#VALUE!</f>
        <v>#VALUE!</v>
      </c>
      <c r="G13" s="5">
        <f>K13*2</f>
        <v>12</v>
      </c>
      <c r="H13" s="4">
        <v>300</v>
      </c>
      <c r="I13" s="4">
        <v>200</v>
      </c>
      <c r="J13" s="4"/>
      <c r="K13" s="4">
        <v>6</v>
      </c>
      <c r="L13" s="7" t="e">
        <v>#VALUE!</v>
      </c>
      <c r="M13" s="8" t="e">
        <v>#VALUE!</v>
      </c>
      <c r="N13" s="6"/>
      <c r="O13" s="6"/>
      <c r="P13" s="6"/>
      <c r="Q13" s="12"/>
      <c r="R13" s="7" t="e">
        <f t="shared" si="3"/>
        <v>#VALUE!</v>
      </c>
      <c r="S13" s="9" t="e">
        <f t="shared" si="2"/>
        <v>#VALUE!</v>
      </c>
      <c r="T13" s="12"/>
      <c r="U13" s="12"/>
      <c r="V13" s="7">
        <f>((T13*N13)+(U13*O13))*SUM(P13:Q13)</f>
        <v>0</v>
      </c>
      <c r="W13" s="10" t="e">
        <v>#VALUE!</v>
      </c>
      <c r="X13" s="10" t="e">
        <f>O13/1000*W13</f>
        <v>#VALUE!</v>
      </c>
      <c r="Y13" s="11" t="e">
        <f>SUM(P13:Q13)*X13</f>
        <v>#VALUE!</v>
      </c>
    </row>
    <row r="14" spans="1:25" ht="15">
      <c r="A14" s="3" t="s">
        <v>15</v>
      </c>
      <c r="B14" s="4" t="str">
        <f t="shared" si="0"/>
        <v>Двутавр 40 (С-345)</v>
      </c>
      <c r="C14" s="5" t="str">
        <f>CONCATENATE("Двутавр ",H14)</f>
        <v>Двутавр 40</v>
      </c>
      <c r="D14" s="6" t="s">
        <v>1</v>
      </c>
      <c r="E14" s="5"/>
      <c r="F14" s="5"/>
      <c r="G14" s="5"/>
      <c r="H14" s="4">
        <v>40</v>
      </c>
      <c r="I14" s="4"/>
      <c r="J14" s="4"/>
      <c r="K14" s="4"/>
      <c r="L14" s="7">
        <v>57</v>
      </c>
      <c r="M14" s="8">
        <v>72.6</v>
      </c>
      <c r="N14" s="6"/>
      <c r="O14" s="6"/>
      <c r="P14" s="6"/>
      <c r="Q14" s="6"/>
      <c r="R14" s="7">
        <f t="shared" si="3"/>
        <v>0</v>
      </c>
      <c r="S14" s="9">
        <f t="shared" si="2"/>
        <v>0</v>
      </c>
      <c r="T14" s="6"/>
      <c r="U14" s="6"/>
      <c r="V14" s="7">
        <f>((T14*N14)+(U14*O14))*SUM(P14:Q14)</f>
        <v>0</v>
      </c>
      <c r="W14" s="10">
        <v>1.36</v>
      </c>
      <c r="X14" s="10">
        <f>O14/1000*W14</f>
        <v>0</v>
      </c>
      <c r="Y14" s="11">
        <f>SUM(P14:Q14)*X14</f>
        <v>0</v>
      </c>
    </row>
    <row r="15" spans="1:25" ht="15">
      <c r="A15" s="3" t="s">
        <v>16</v>
      </c>
      <c r="B15" s="4" t="str">
        <f t="shared" si="0"/>
        <v>Швеллер 30 (С-345)</v>
      </c>
      <c r="C15" s="5" t="str">
        <f>CONCATENATE("Швеллер ",H15,I15)</f>
        <v>Швеллер 30</v>
      </c>
      <c r="D15" s="6" t="s">
        <v>1</v>
      </c>
      <c r="E15" s="5"/>
      <c r="F15" s="5"/>
      <c r="G15" s="5"/>
      <c r="H15" s="4">
        <v>30</v>
      </c>
      <c r="I15" s="4"/>
      <c r="J15" s="4"/>
      <c r="K15" s="6"/>
      <c r="L15" s="7" t="e">
        <f>#VALUE!</f>
        <v>#VALUE!</v>
      </c>
      <c r="M15" s="8" t="e">
        <f>#VALUE!</f>
        <v>#VALUE!</v>
      </c>
      <c r="N15" s="6"/>
      <c r="O15" s="6"/>
      <c r="P15" s="6"/>
      <c r="Q15" s="14"/>
      <c r="R15" s="7" t="e">
        <f t="shared" si="3"/>
        <v>#VALUE!</v>
      </c>
      <c r="S15" s="9" t="e">
        <f t="shared" si="2"/>
        <v>#VALUE!</v>
      </c>
      <c r="T15" s="15"/>
      <c r="U15" s="15"/>
      <c r="V15" s="7">
        <f>((T15*N15)+(U15*O15))*SUM(P15:Q15)</f>
        <v>0</v>
      </c>
      <c r="W15" s="10" t="e">
        <f>#VALUE!</f>
        <v>#VALUE!</v>
      </c>
      <c r="X15" s="10" t="e">
        <f>O15/1000*W15</f>
        <v>#VALUE!</v>
      </c>
      <c r="Y15" s="11" t="e">
        <f>SUM(P15:Q15)*X15</f>
        <v>#VALUE!</v>
      </c>
    </row>
    <row r="16" spans="1:25" ht="15">
      <c r="A16" s="3" t="s">
        <v>28</v>
      </c>
      <c r="B16" s="4" t="str">
        <f t="shared" si="0"/>
        <v>Швеллер Гн. 120х80х5 (С 255)</v>
      </c>
      <c r="C16" s="5" t="str">
        <f>CONCATENATE("Швеллер Гн. ",H16,"х",I16,"х",K16)</f>
        <v>Швеллер Гн. 120х80х5</v>
      </c>
      <c r="D16" s="4" t="s">
        <v>17</v>
      </c>
      <c r="E16" s="5" t="e">
        <f>F16+I16</f>
        <v>#VALUE!</v>
      </c>
      <c r="F16" s="5" t="e">
        <f>#VALUE!</f>
        <v>#VALUE!</v>
      </c>
      <c r="G16" s="5" t="e">
        <f>#VALUE!</f>
        <v>#VALUE!</v>
      </c>
      <c r="H16" s="4">
        <v>120</v>
      </c>
      <c r="I16" s="4">
        <v>80</v>
      </c>
      <c r="J16" s="4"/>
      <c r="K16" s="4">
        <v>5</v>
      </c>
      <c r="L16" s="7" t="e">
        <v>#VALUE!</v>
      </c>
      <c r="M16" s="8" t="e">
        <v>#VALUE!</v>
      </c>
      <c r="N16" s="6"/>
      <c r="O16" s="6"/>
      <c r="P16" s="6"/>
      <c r="Q16" s="12"/>
      <c r="R16" s="7" t="e">
        <f t="shared" si="3"/>
        <v>#VALUE!</v>
      </c>
      <c r="S16" s="9" t="e">
        <f t="shared" si="2"/>
        <v>#VALUE!</v>
      </c>
      <c r="T16" s="12"/>
      <c r="U16" s="12"/>
      <c r="V16" s="7">
        <f>((T16*N16)+(U16*O16))*SUM(P16:Q16)</f>
        <v>0</v>
      </c>
      <c r="W16" s="10" t="e">
        <v>#VALUE!</v>
      </c>
      <c r="X16" s="10" t="e">
        <f>O16/1000*W16</f>
        <v>#VALUE!</v>
      </c>
      <c r="Y16" s="11" t="e">
        <f>SUM(P16:Q16)*X16</f>
        <v>#VALUE!</v>
      </c>
    </row>
    <row r="17" spans="1:25" ht="15">
      <c r="A17" s="3" t="s">
        <v>18</v>
      </c>
      <c r="B17" s="4" t="str">
        <f t="shared" si="0"/>
        <v>Швеллер Гн. 50х50х25х3 (С 255)</v>
      </c>
      <c r="C17" s="5" t="str">
        <f>CONCATENATE("Швеллер Гн. ",H17,"х",I17,"х",J17,"х",K17)</f>
        <v>Швеллер Гн. 50х50х25х3</v>
      </c>
      <c r="D17" s="4" t="s">
        <v>17</v>
      </c>
      <c r="E17" s="5">
        <f>F17+I17+J17</f>
        <v>126</v>
      </c>
      <c r="F17" s="5">
        <f>IF(H17=140,139,IF(H17=90,92,IF(H17=120,122,IF(H17=70,71,IF(H17=50,51,H17)))))</f>
        <v>51</v>
      </c>
      <c r="G17" s="5">
        <f>IF(K17=8,11,IF(K17=6,10,IF(K17=5,9,IF(K17=4,8,IF(K17=3,7,IF(K17=2.5,6,IF(K17=2,5)))))))</f>
        <v>7</v>
      </c>
      <c r="H17" s="4">
        <v>50</v>
      </c>
      <c r="I17" s="4">
        <v>50</v>
      </c>
      <c r="J17" s="4">
        <v>25</v>
      </c>
      <c r="K17" s="4">
        <v>3</v>
      </c>
      <c r="L17" s="7">
        <v>2.67</v>
      </c>
      <c r="M17" s="8">
        <v>3.4</v>
      </c>
      <c r="N17" s="6"/>
      <c r="O17" s="6"/>
      <c r="P17" s="6"/>
      <c r="Q17" s="12"/>
      <c r="R17" s="7">
        <f t="shared" si="3"/>
        <v>0</v>
      </c>
      <c r="S17" s="9">
        <f t="shared" si="2"/>
        <v>0</v>
      </c>
      <c r="T17" s="12"/>
      <c r="U17" s="12"/>
      <c r="V17" s="7">
        <f>((T17*N17)+(U17*O17))*SUM(P17:Q17)</f>
        <v>0</v>
      </c>
      <c r="W17" s="10">
        <v>0.23882</v>
      </c>
      <c r="X17" s="10">
        <f>O17/1000*W17</f>
        <v>0</v>
      </c>
      <c r="Y17" s="11">
        <f>SUM(P17:Q17)*X17</f>
        <v>0</v>
      </c>
    </row>
    <row r="18" spans="1:25" ht="15">
      <c r="A18" s="3" t="s">
        <v>19</v>
      </c>
      <c r="B18" s="4" t="str">
        <f t="shared" si="0"/>
        <v>Уголок 100х100х7 (С-345)</v>
      </c>
      <c r="C18" s="5" t="str">
        <f>CONCATENATE("Уголок ",H18,"х",H18,"х",K18)</f>
        <v>Уголок 100х100х7</v>
      </c>
      <c r="D18" s="6" t="s">
        <v>1</v>
      </c>
      <c r="E18" s="5"/>
      <c r="F18" s="5"/>
      <c r="G18" s="5" t="e">
        <f>#VALUE!</f>
        <v>#VALUE!</v>
      </c>
      <c r="H18" s="4">
        <v>100</v>
      </c>
      <c r="I18" s="4"/>
      <c r="J18" s="4"/>
      <c r="K18" s="4">
        <v>7</v>
      </c>
      <c r="L18" s="7" t="e">
        <v>#VALUE!</v>
      </c>
      <c r="M18" s="8" t="e">
        <v>#VALUE!</v>
      </c>
      <c r="N18" s="6"/>
      <c r="O18" s="6"/>
      <c r="P18" s="6"/>
      <c r="Q18" s="6"/>
      <c r="R18" s="7" t="e">
        <f t="shared" si="3"/>
        <v>#VALUE!</v>
      </c>
      <c r="S18" s="9" t="e">
        <f t="shared" si="2"/>
        <v>#VALUE!</v>
      </c>
      <c r="T18" s="6"/>
      <c r="U18" s="6"/>
      <c r="V18" s="7">
        <f>((T18*N18)+(U18*O18))*SUM(P18:Q18)</f>
        <v>0</v>
      </c>
      <c r="W18" s="10" t="e">
        <v>#VALUE!</v>
      </c>
      <c r="X18" s="10" t="e">
        <f>O18/1000*W18</f>
        <v>#VALUE!</v>
      </c>
      <c r="Y18" s="11" t="e">
        <f>SUM(P18:Q18)*X18</f>
        <v>#VALUE!</v>
      </c>
    </row>
    <row r="19" spans="1:25" ht="15">
      <c r="A19" s="3" t="s">
        <v>20</v>
      </c>
      <c r="B19" s="4" t="str">
        <f t="shared" si="0"/>
        <v>Уголок 75х60х5 (С-345)</v>
      </c>
      <c r="C19" s="5" t="str">
        <f>CONCATENATE("Уголок ",H19,"х",I19,"х",K19)</f>
        <v>Уголок 75х60х5</v>
      </c>
      <c r="D19" s="6" t="s">
        <v>1</v>
      </c>
      <c r="E19" s="5" t="e">
        <f>#VALUE!</f>
        <v>#VALUE!</v>
      </c>
      <c r="F19" s="5">
        <f>IF(H19=70,71,H19)</f>
        <v>75</v>
      </c>
      <c r="G19" s="5" t="e">
        <f>#VALUE!</f>
        <v>#VALUE!</v>
      </c>
      <c r="H19" s="4">
        <v>75</v>
      </c>
      <c r="I19" s="4">
        <v>60</v>
      </c>
      <c r="J19" s="4"/>
      <c r="K19" s="4">
        <v>5</v>
      </c>
      <c r="L19" s="7" t="e">
        <v>#VALUE!</v>
      </c>
      <c r="M19" s="8" t="e">
        <v>#VALUE!</v>
      </c>
      <c r="N19" s="6"/>
      <c r="O19" s="6"/>
      <c r="P19" s="6"/>
      <c r="Q19" s="6"/>
      <c r="R19" s="7" t="e">
        <f t="shared" si="3"/>
        <v>#VALUE!</v>
      </c>
      <c r="S19" s="9" t="e">
        <f t="shared" si="2"/>
        <v>#VALUE!</v>
      </c>
      <c r="T19" s="6"/>
      <c r="U19" s="6"/>
      <c r="V19" s="7">
        <f>((T19*N19)+(U19*O19))*SUM(P19:Q19)</f>
        <v>0</v>
      </c>
      <c r="W19" s="10" t="e">
        <v>#VALUE!</v>
      </c>
      <c r="X19" s="10" t="e">
        <f>O19/1000*W19</f>
        <v>#VALUE!</v>
      </c>
      <c r="Y19" s="11" t="e">
        <f>SUM(P19:Q19)*X19</f>
        <v>#VALUE!</v>
      </c>
    </row>
    <row r="20" spans="1:25" ht="15">
      <c r="A20" s="3" t="s">
        <v>21</v>
      </c>
      <c r="B20" s="4" t="str">
        <f t="shared" si="0"/>
        <v>Лист рифл. ромб. S - 5 (С-255)</v>
      </c>
      <c r="C20" s="5" t="str">
        <f>CONCATENATE("Лист рифл. ромб. S - ",K20)</f>
        <v>Лист рифл. ромб. S - 5</v>
      </c>
      <c r="D20" s="6" t="s">
        <v>4</v>
      </c>
      <c r="E20" s="5"/>
      <c r="F20" s="5"/>
      <c r="G20" s="5"/>
      <c r="H20" s="4"/>
      <c r="I20" s="4"/>
      <c r="J20" s="4"/>
      <c r="K20" s="6">
        <v>5</v>
      </c>
      <c r="L20" s="7">
        <f>IF(K20=12,99.3,IF(K20=10,83,IF(K20=8,66.6,IF(K20=6,50,IF(K20=5,41.8,IF(K20=4,33.5,IF(K20=3,25.1,IF(K20=2.5,21))))))))</f>
        <v>41.8</v>
      </c>
      <c r="M20" s="8"/>
      <c r="N20" s="6"/>
      <c r="O20" s="6"/>
      <c r="P20" s="6"/>
      <c r="Q20" s="14"/>
      <c r="R20" s="7">
        <f>(N20/1000)*(O20/1000)*L20</f>
        <v>0</v>
      </c>
      <c r="S20" s="9">
        <f t="shared" si="2"/>
        <v>0</v>
      </c>
      <c r="T20" s="15"/>
      <c r="U20" s="15"/>
      <c r="V20" s="7">
        <f>((T20*N20)+(U20*O20))*SUM(P20:Q20)</f>
        <v>0</v>
      </c>
      <c r="W20" s="10">
        <v>2</v>
      </c>
      <c r="X20" s="10">
        <f>(N20/1000)*(O20/1000)*W20</f>
        <v>0</v>
      </c>
      <c r="Y20" s="11">
        <f>SUM(P20:Q20)*X20</f>
        <v>0</v>
      </c>
    </row>
    <row r="21" spans="1:25" ht="15">
      <c r="A21" s="3" t="s">
        <v>22</v>
      </c>
      <c r="B21" s="4" t="str">
        <f t="shared" si="0"/>
        <v>Труба проф. 100х40х4 (С-345)</v>
      </c>
      <c r="C21" s="5" t="str">
        <f>CONCATENATE("Труба проф. ",H21,"х",I21,"х",K21)</f>
        <v>Труба проф. 100х40х4</v>
      </c>
      <c r="D21" s="6" t="s">
        <v>1</v>
      </c>
      <c r="E21" s="20" t="e">
        <f>#VALUE!</f>
        <v>#VALUE!</v>
      </c>
      <c r="F21" s="20" t="e">
        <f>#VALUE!</f>
        <v>#VALUE!</v>
      </c>
      <c r="G21" s="5" t="e">
        <f>#VALUE!</f>
        <v>#VALUE!</v>
      </c>
      <c r="H21" s="4">
        <v>100</v>
      </c>
      <c r="I21" s="4">
        <v>40</v>
      </c>
      <c r="J21" s="4"/>
      <c r="K21" s="4">
        <v>4</v>
      </c>
      <c r="L21" s="7" t="e">
        <v>#VALUE!</v>
      </c>
      <c r="M21" s="8" t="e">
        <v>#VALUE!</v>
      </c>
      <c r="N21" s="6"/>
      <c r="O21" s="6"/>
      <c r="P21" s="6"/>
      <c r="Q21" s="12"/>
      <c r="R21" s="7" t="e">
        <f>O21/1000*L21</f>
        <v>#VALUE!</v>
      </c>
      <c r="S21" s="9" t="e">
        <f t="shared" si="2"/>
        <v>#VALUE!</v>
      </c>
      <c r="T21" s="12"/>
      <c r="U21" s="12"/>
      <c r="V21" s="7">
        <f>((T21*N21)+(U21*O21))*SUM(P21:Q21)</f>
        <v>0</v>
      </c>
      <c r="W21" s="10" t="e">
        <v>#VALUE!</v>
      </c>
      <c r="X21" s="10" t="e">
        <f>O21/1000*W21</f>
        <v>#VALUE!</v>
      </c>
      <c r="Y21" s="11" t="e">
        <f>SUM(P21:Q21)*X21</f>
        <v>#VALUE!</v>
      </c>
    </row>
    <row r="22" spans="1:25" ht="15">
      <c r="A22" s="3" t="s">
        <v>23</v>
      </c>
      <c r="B22" s="4" t="str">
        <f t="shared" si="0"/>
        <v>Двутавр 40К (С-345)</v>
      </c>
      <c r="C22" s="5" t="str">
        <f>CONCATENATE("Двутавр ",H22,I22,K22)</f>
        <v>Двутавр 40К</v>
      </c>
      <c r="D22" s="6" t="s">
        <v>1</v>
      </c>
      <c r="E22" s="5"/>
      <c r="F22" s="5">
        <f>CODE(I22)</f>
        <v>202</v>
      </c>
      <c r="G22" s="5">
        <f>IF(F22=216,10,IF(F22=202,5,IF(F22=193,2)))</f>
        <v>5</v>
      </c>
      <c r="H22" s="18">
        <v>40</v>
      </c>
      <c r="I22" s="18" t="s">
        <v>13</v>
      </c>
      <c r="J22" s="18">
        <v>2</v>
      </c>
      <c r="K22" s="18"/>
      <c r="L22" s="7">
        <v>0</v>
      </c>
      <c r="M22" s="8">
        <v>0</v>
      </c>
      <c r="N22" s="22"/>
      <c r="O22" s="6">
        <v>1000</v>
      </c>
      <c r="P22" s="6">
        <v>1</v>
      </c>
      <c r="Q22" s="22"/>
      <c r="R22" s="7">
        <f>O22/1000*L22</f>
        <v>0</v>
      </c>
      <c r="S22" s="9">
        <f t="shared" si="2"/>
        <v>0</v>
      </c>
      <c r="T22" s="7"/>
      <c r="U22" s="7"/>
      <c r="V22" s="7">
        <f>((T22*N22)+(U22*O22))*SUM(P22:Q22)</f>
        <v>0</v>
      </c>
      <c r="W22" s="10">
        <v>0</v>
      </c>
      <c r="X22" s="10">
        <f>O22/1000*W22</f>
        <v>0</v>
      </c>
      <c r="Y22" s="11">
        <f>SUM(P22:Q22)*X22</f>
        <v>0</v>
      </c>
    </row>
    <row r="23" spans="1:25" ht="15">
      <c r="A23" s="3" t="s">
        <v>24</v>
      </c>
      <c r="B23" s="4" t="str">
        <f t="shared" si="0"/>
        <v>ПВЛ - 406 (С-235)</v>
      </c>
      <c r="C23" s="5" t="str">
        <f>CONCATENATE("ПВЛ - ",K23)</f>
        <v>ПВЛ - 406</v>
      </c>
      <c r="D23" s="6" t="s">
        <v>25</v>
      </c>
      <c r="E23" s="5"/>
      <c r="F23" s="5"/>
      <c r="G23" s="5"/>
      <c r="H23" s="4"/>
      <c r="I23" s="4"/>
      <c r="J23" s="4"/>
      <c r="K23" s="6">
        <v>406</v>
      </c>
      <c r="L23" s="13">
        <f>IF(K23=610,26.2,IF(K23=608,21.84,IF(K23=606,17.27,IF(K23=510,24.73,IF(K23=508,20.86,IF(K23=506,16.36,IF(K23=406,15.74,0)))))))</f>
        <v>15.74</v>
      </c>
      <c r="M23" s="8"/>
      <c r="N23" s="6"/>
      <c r="O23" s="6"/>
      <c r="P23" s="6"/>
      <c r="Q23" s="14"/>
      <c r="R23" s="7">
        <f>(N23/1000)*(O23/1000)*L23</f>
        <v>0</v>
      </c>
      <c r="S23" s="7">
        <f t="shared" si="2"/>
        <v>0</v>
      </c>
      <c r="T23" s="15"/>
      <c r="U23" s="15"/>
      <c r="V23" s="7">
        <f>((T23*N23)+(U23*O23))*SUM(P23:Q23)</f>
        <v>0</v>
      </c>
      <c r="W23" s="10">
        <v>2</v>
      </c>
      <c r="X23" s="10">
        <f>(N23/1000)*(O23/1000)*W23</f>
        <v>0</v>
      </c>
      <c r="Y23" s="11">
        <f>SUM(P23:Q23)*X23</f>
        <v>0</v>
      </c>
    </row>
    <row r="24" spans="1:25" ht="15">
      <c r="A24" s="3" t="s">
        <v>26</v>
      </c>
      <c r="B24" s="4" t="str">
        <f t="shared" si="0"/>
        <v>Двутавр 25Б2 (С-345)</v>
      </c>
      <c r="C24" s="5" t="str">
        <f>CONCATENATE("Двутавр ",H24,E24,K24)</f>
        <v>Двутавр 25Б2</v>
      </c>
      <c r="D24" s="6" t="s">
        <v>1</v>
      </c>
      <c r="E24" s="5" t="str">
        <f>UPPER(I24)</f>
        <v>Б</v>
      </c>
      <c r="F24" s="5">
        <f>CODE(I24)</f>
        <v>193</v>
      </c>
      <c r="G24" s="5">
        <f>IF(F24=216,10,IF(F24=202,5,IF(F24=193,2)))</f>
        <v>2</v>
      </c>
      <c r="H24" s="18">
        <v>25</v>
      </c>
      <c r="I24" s="18" t="s">
        <v>27</v>
      </c>
      <c r="J24" s="18"/>
      <c r="K24" s="18">
        <v>2</v>
      </c>
      <c r="L24" s="7">
        <v>30.91</v>
      </c>
      <c r="M24" s="8">
        <v>38.8</v>
      </c>
      <c r="N24" s="6"/>
      <c r="O24" s="6"/>
      <c r="P24" s="6"/>
      <c r="Q24" s="6"/>
      <c r="R24" s="7">
        <f>O24/1000*L24</f>
        <v>0</v>
      </c>
      <c r="S24" s="9">
        <f t="shared" si="2"/>
        <v>0</v>
      </c>
      <c r="T24" s="6"/>
      <c r="U24" s="6"/>
      <c r="V24" s="7">
        <f>((T24*N24)+(U24*O24))*SUM(P24:Q24)</f>
        <v>0</v>
      </c>
      <c r="W24" s="10">
        <v>0.988</v>
      </c>
      <c r="X24" s="10">
        <f>O24/1000*W24</f>
        <v>0</v>
      </c>
      <c r="Y24" s="11">
        <f>SUM(P24:Q24)*X24</f>
        <v>0</v>
      </c>
    </row>
    <row r="25" ht="15">
      <c r="A25" s="3"/>
    </row>
    <row r="26" ht="15">
      <c r="A26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2014-02-06T04:44:21Z</dcterms:modified>
  <cp:category/>
  <cp:version/>
  <cp:contentType/>
  <cp:contentStatus/>
</cp:coreProperties>
</file>