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075" windowHeight="10800" activeTab="1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<sst xmlns="http://schemas.openxmlformats.org/spreadsheetml/2006/main" count="148" uniqueCount="82">
  <si>
    <t>FFF monthly Sales</t>
  </si>
  <si>
    <t>Depot</t>
  </si>
  <si>
    <t>Tonnage</t>
  </si>
  <si>
    <t>Distance 
(cm)</t>
  </si>
  <si>
    <t>Distance (km
 - measured)</t>
  </si>
  <si>
    <t>Latitude</t>
  </si>
  <si>
    <t>Longitude</t>
  </si>
  <si>
    <t>Distance (km by
 Great Circle)</t>
  </si>
  <si>
    <t>Country</t>
  </si>
  <si>
    <t xml:space="preserve">Location </t>
  </si>
  <si>
    <t>Sales</t>
  </si>
  <si>
    <t>Local Delivery Cost</t>
  </si>
  <si>
    <t>Bordeaux</t>
  </si>
  <si>
    <t>Lisbon</t>
  </si>
  <si>
    <t>Genoa</t>
  </si>
  <si>
    <t>Madrid</t>
  </si>
  <si>
    <t>Luxembourg</t>
  </si>
  <si>
    <t>Malaga</t>
  </si>
  <si>
    <t>Munich</t>
  </si>
  <si>
    <t>Monaco</t>
  </si>
  <si>
    <t>Paris</t>
  </si>
  <si>
    <t>Toulouse</t>
  </si>
  <si>
    <t>Turin</t>
  </si>
  <si>
    <t>Valencia</t>
  </si>
  <si>
    <t>Milan</t>
  </si>
  <si>
    <t>Naples</t>
  </si>
  <si>
    <t>Rome</t>
  </si>
  <si>
    <t>Amsterdam</t>
  </si>
  <si>
    <t>Brussels</t>
  </si>
  <si>
    <t>Copenhagen</t>
  </si>
  <si>
    <t>Hamburg</t>
  </si>
  <si>
    <t>Poznan</t>
  </si>
  <si>
    <t>Geneva</t>
  </si>
  <si>
    <t>Stuttgart</t>
  </si>
  <si>
    <t>Total for week</t>
  </si>
  <si>
    <t>Key Figures</t>
  </si>
  <si>
    <t>Base Case Summary</t>
  </si>
  <si>
    <t>Conversion factor for map</t>
  </si>
  <si>
    <t>Trunking</t>
  </si>
  <si>
    <t>Product Cost</t>
  </si>
  <si>
    <t>£/pallet</t>
  </si>
  <si>
    <t>Weekly Stock Cost</t>
  </si>
  <si>
    <t>£/pallet/week</t>
  </si>
  <si>
    <t>Local Delivery</t>
  </si>
  <si>
    <t>Road Factor</t>
  </si>
  <si>
    <t>Stock</t>
  </si>
  <si>
    <t>Total Demand</t>
  </si>
  <si>
    <t>pallets</t>
  </si>
  <si>
    <t>Total</t>
  </si>
  <si>
    <t>k£/year</t>
  </si>
  <si>
    <t>Avg£/pallet</t>
  </si>
  <si>
    <t>Trunking Costs</t>
  </si>
  <si>
    <t>Unit Costs</t>
  </si>
  <si>
    <t>£/pallet/km</t>
  </si>
  <si>
    <t>Distance from 
Aarhus(cm)</t>
  </si>
  <si>
    <t>Distance from 
Aarhus (km)</t>
  </si>
  <si>
    <t>Total 
Pallets</t>
  </si>
  <si>
    <t>Cost (£)</t>
  </si>
  <si>
    <t>Genua</t>
  </si>
  <si>
    <t>TOTAL</t>
  </si>
  <si>
    <t>Depot Costs</t>
  </si>
  <si>
    <t>Stock Holding Costs</t>
  </si>
  <si>
    <t>weeks</t>
  </si>
  <si>
    <t>Fixed Costs</t>
  </si>
  <si>
    <t>£/week +</t>
  </si>
  <si>
    <t>Stock Lead Time</t>
  </si>
  <si>
    <t>Variable Costs</t>
  </si>
  <si>
    <t xml:space="preserve">£/pallet throughput </t>
  </si>
  <si>
    <t xml:space="preserve">Warehouse Stock </t>
  </si>
  <si>
    <t>Throughput 
(pallets/week)</t>
  </si>
  <si>
    <t>Fixed 
Cost (£)</t>
  </si>
  <si>
    <t>Variable 
Cost (£)</t>
  </si>
  <si>
    <t>Total 
Cost (£)</t>
  </si>
  <si>
    <t>Quantity
(pallets/week)</t>
  </si>
  <si>
    <t>Zurich</t>
  </si>
  <si>
    <t>Local Delivery Cost (£)</t>
  </si>
  <si>
    <t>Summary by Depot</t>
  </si>
  <si>
    <t>Trunk</t>
  </si>
  <si>
    <t>Deliver</t>
  </si>
  <si>
    <t>total</t>
  </si>
  <si>
    <t>Cologne</t>
  </si>
  <si>
    <t>Vienna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</si>
</sst>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"/>
  </numFmts>
  <fonts count="8">
    <font>
      <sz val="10"/>
      <name val="Arial Cyr"/>
      <family val="0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11"/>
      <name val="Calibri"/>
      <family val="2"/>
    </font>
    <font>
      <b/>
      <sz val="11"/>
      <color indexed="10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7" xfId="0" applyBorder="1" applyAlignment="1">
      <alignment/>
    </xf>
    <xf numFmtId="2" fontId="0" fillId="0" borderId="8" xfId="0" applyNumberForma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2" fontId="0" fillId="0" borderId="7" xfId="0" applyNumberFormat="1" applyBorder="1" applyAlignment="1">
      <alignment/>
    </xf>
    <xf numFmtId="2" fontId="0" fillId="0" borderId="9" xfId="0" applyNumberFormat="1" applyBorder="1" applyAlignment="1">
      <alignment/>
    </xf>
    <xf numFmtId="2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11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2" xfId="0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/>
    </xf>
    <xf numFmtId="165" fontId="1" fillId="0" borderId="0" xfId="0" applyNumberFormat="1" applyFont="1" applyBorder="1" applyAlignment="1">
      <alignment/>
    </xf>
    <xf numFmtId="0" fontId="3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65" fontId="6" fillId="0" borderId="0" xfId="0" applyNumberFormat="1" applyFont="1" applyBorder="1" applyAlignment="1">
      <alignment/>
    </xf>
    <xf numFmtId="0" fontId="6" fillId="2" borderId="0" xfId="0" applyFont="1" applyFill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2" borderId="0" xfId="0" applyFont="1" applyFill="1" applyBorder="1" applyAlignment="1">
      <alignment/>
    </xf>
    <xf numFmtId="165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8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165" fontId="7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2" fontId="5" fillId="0" borderId="0" xfId="0" applyNumberFormat="1" applyFont="1" applyAlignment="1">
      <alignment/>
    </xf>
    <xf numFmtId="2" fontId="5" fillId="0" borderId="11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9" xfId="0" applyBorder="1" applyAlignment="1">
      <alignment/>
    </xf>
    <xf numFmtId="0" fontId="0" fillId="0" borderId="6" xfId="0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sktop\Cranfield\Study%20materials\Module%20Six\PND\Belgium%20Beer%20Barons\BBB%20Base%20Cas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xec%20Data%202014%20-%20&#1082;&#1086;&#1087;&#1080;&#110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Лист2"/>
      <sheetName val="Лист3"/>
      <sheetName val="BBB Distance calcs"/>
      <sheetName val="BBB Base Case "/>
      <sheetName val="AAA Distance Calcs"/>
      <sheetName val="AAA Base Case "/>
      <sheetName val="Summary"/>
    </sheetNames>
    <sheetDataSet>
      <sheetData sheetId="2">
        <row r="3">
          <cell r="T3">
            <v>0</v>
          </cell>
        </row>
        <row r="4">
          <cell r="D4" t="str">
            <v>Bordeaux</v>
          </cell>
          <cell r="K4">
            <v>54898.8441906382</v>
          </cell>
          <cell r="T4">
            <v>745.2470025485734</v>
          </cell>
        </row>
        <row r="5">
          <cell r="D5" t="str">
            <v>Bordeaux</v>
          </cell>
          <cell r="K5">
            <v>5536.280834137851</v>
          </cell>
          <cell r="T5">
            <v>721.4692007282919</v>
          </cell>
        </row>
        <row r="6">
          <cell r="D6" t="str">
            <v>Bordeaux</v>
          </cell>
          <cell r="K6">
            <v>15513.74054145155</v>
          </cell>
          <cell r="T6">
            <v>990.8199200060396</v>
          </cell>
        </row>
        <row r="7">
          <cell r="D7" t="str">
            <v>Bordeaux</v>
          </cell>
          <cell r="K7">
            <v>3257.7195312865524</v>
          </cell>
        </row>
        <row r="8">
          <cell r="D8" t="str">
            <v>Bordeaux</v>
          </cell>
          <cell r="K8">
            <v>14143.55608773894</v>
          </cell>
        </row>
        <row r="9">
          <cell r="D9" t="str">
            <v>Bordeaux</v>
          </cell>
          <cell r="K9">
            <v>6932.593768549539</v>
          </cell>
        </row>
        <row r="10">
          <cell r="D10" t="str">
            <v>Bordeaux</v>
          </cell>
          <cell r="K10">
            <v>226428.28696205447</v>
          </cell>
        </row>
        <row r="11">
          <cell r="D11" t="str">
            <v>Bordeaux</v>
          </cell>
          <cell r="K11">
            <v>20730.138792092785</v>
          </cell>
        </row>
        <row r="12">
          <cell r="D12" t="str">
            <v>Genoa</v>
          </cell>
          <cell r="K12">
            <v>1801.25</v>
          </cell>
        </row>
        <row r="13">
          <cell r="D13" t="str">
            <v>Genoa</v>
          </cell>
          <cell r="K13">
            <v>12285.462745377206</v>
          </cell>
        </row>
        <row r="14">
          <cell r="D14" t="str">
            <v>Genoa</v>
          </cell>
          <cell r="K14">
            <v>53326.7063565811</v>
          </cell>
        </row>
        <row r="15">
          <cell r="D15" t="str">
            <v>Genoa</v>
          </cell>
          <cell r="K15">
            <v>14385.704805877049</v>
          </cell>
        </row>
        <row r="16">
          <cell r="D16" t="str">
            <v>Luxembourg</v>
          </cell>
          <cell r="K16">
            <v>1937.0138851781912</v>
          </cell>
        </row>
        <row r="17">
          <cell r="D17" t="str">
            <v>Luxembourg</v>
          </cell>
          <cell r="K17">
            <v>1947.4275229780148</v>
          </cell>
        </row>
        <row r="18">
          <cell r="D18" t="str">
            <v>Luxembourg</v>
          </cell>
          <cell r="K18">
            <v>25182.353203801526</v>
          </cell>
        </row>
        <row r="19">
          <cell r="D19" t="str">
            <v>Luxembourg</v>
          </cell>
          <cell r="K19">
            <v>292770.7152503659</v>
          </cell>
        </row>
        <row r="20">
          <cell r="D20" t="str">
            <v>Luxembourg</v>
          </cell>
          <cell r="K20">
            <v>9826.488831744657</v>
          </cell>
        </row>
        <row r="21">
          <cell r="D21" t="str">
            <v>Luxembourg</v>
          </cell>
          <cell r="K21">
            <v>495</v>
          </cell>
        </row>
        <row r="22">
          <cell r="D22" t="str">
            <v>Luxembourg</v>
          </cell>
          <cell r="K22">
            <v>50173.986382187126</v>
          </cell>
        </row>
        <row r="23">
          <cell r="D23" t="str">
            <v>Munich</v>
          </cell>
          <cell r="K23">
            <v>90430.59999065424</v>
          </cell>
        </row>
        <row r="24">
          <cell r="D24" t="str">
            <v>Munich</v>
          </cell>
          <cell r="K24">
            <v>742.5032624884767</v>
          </cell>
        </row>
        <row r="25">
          <cell r="D25" t="str">
            <v>Munich</v>
          </cell>
          <cell r="K25">
            <v>9146.835276035057</v>
          </cell>
        </row>
        <row r="26">
          <cell r="D26" t="str">
            <v>Munich</v>
          </cell>
          <cell r="K26">
            <v>70915.81705160241</v>
          </cell>
        </row>
      </sheetData>
      <sheetData sheetId="3">
        <row r="6">
          <cell r="D6">
            <v>1.2</v>
          </cell>
        </row>
        <row r="36">
          <cell r="C36">
            <v>11</v>
          </cell>
        </row>
        <row r="37">
          <cell r="C37">
            <v>0.3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7"/>
      <sheetName val="Лист5"/>
      <sheetName val="Лист6"/>
      <sheetName val="DDD Distance calc"/>
      <sheetName val="DDD Base case"/>
      <sheetName val="DDDFFF Distance calc"/>
      <sheetName val="DDD Short Term"/>
      <sheetName val="FFF Distance calc "/>
      <sheetName val="FFF Base case"/>
      <sheetName val="Longitude and Latitudes"/>
      <sheetName val="Deliveries Brief Analisys"/>
    </sheetNames>
    <sheetDataSet>
      <sheetData sheetId="1">
        <row r="3">
          <cell r="N3">
            <v>1420</v>
          </cell>
        </row>
        <row r="4">
          <cell r="D4">
            <v>157.5</v>
          </cell>
          <cell r="N4">
            <v>721.25</v>
          </cell>
        </row>
        <row r="5">
          <cell r="D5">
            <v>26.25</v>
          </cell>
          <cell r="N5">
            <v>1512.5</v>
          </cell>
        </row>
        <row r="6">
          <cell r="D6">
            <v>43.75</v>
          </cell>
          <cell r="N6">
            <v>1108.75</v>
          </cell>
        </row>
        <row r="7">
          <cell r="D7">
            <v>13.75</v>
          </cell>
        </row>
        <row r="8">
          <cell r="D8">
            <v>75</v>
          </cell>
        </row>
        <row r="9">
          <cell r="D9">
            <v>81.25</v>
          </cell>
        </row>
        <row r="10">
          <cell r="D10">
            <v>931.25</v>
          </cell>
        </row>
        <row r="11">
          <cell r="D11">
            <v>91.25</v>
          </cell>
        </row>
        <row r="12">
          <cell r="D12">
            <v>163.75</v>
          </cell>
        </row>
        <row r="13">
          <cell r="D13">
            <v>220</v>
          </cell>
        </row>
        <row r="14">
          <cell r="D14">
            <v>242.5</v>
          </cell>
        </row>
        <row r="15">
          <cell r="D15">
            <v>95</v>
          </cell>
        </row>
        <row r="16">
          <cell r="D16">
            <v>15</v>
          </cell>
        </row>
        <row r="17">
          <cell r="D17">
            <v>23.75</v>
          </cell>
        </row>
        <row r="18">
          <cell r="D18">
            <v>360</v>
          </cell>
        </row>
        <row r="19">
          <cell r="D19">
            <v>885</v>
          </cell>
        </row>
        <row r="20">
          <cell r="D20">
            <v>46.25</v>
          </cell>
        </row>
        <row r="21">
          <cell r="D21">
            <v>45</v>
          </cell>
        </row>
        <row r="22">
          <cell r="D22">
            <v>137.5</v>
          </cell>
        </row>
        <row r="23">
          <cell r="D23">
            <v>477.5</v>
          </cell>
        </row>
        <row r="24">
          <cell r="D24">
            <v>67.5</v>
          </cell>
        </row>
        <row r="25">
          <cell r="D25">
            <v>103.75</v>
          </cell>
        </row>
        <row r="26">
          <cell r="D26">
            <v>460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B27"/>
  <sheetViews>
    <sheetView workbookViewId="0" topLeftCell="A1">
      <selection activeCell="O15" sqref="O15"/>
    </sheetView>
  </sheetViews>
  <sheetFormatPr defaultColWidth="9.00390625" defaultRowHeight="12.75"/>
  <cols>
    <col min="2" max="2" width="8.125" style="0" customWidth="1"/>
    <col min="3" max="3" width="12.875" style="0" customWidth="1"/>
    <col min="4" max="4" width="13.00390625" style="0" customWidth="1"/>
    <col min="11" max="11" width="11.00390625" style="0" customWidth="1"/>
    <col min="14" max="14" width="11.25390625" style="0" customWidth="1"/>
  </cols>
  <sheetData>
    <row r="1" s="1" customFormat="1" ht="13.5" thickBot="1"/>
    <row r="2" spans="1:28" s="1" customFormat="1" ht="57" customHeight="1" thickBot="1">
      <c r="A2" s="2"/>
      <c r="B2" s="3" t="s">
        <v>0</v>
      </c>
      <c r="C2" s="4"/>
      <c r="D2" s="4"/>
      <c r="E2" s="5"/>
      <c r="N2" s="1" t="s">
        <v>1</v>
      </c>
      <c r="O2" s="1" t="s">
        <v>2</v>
      </c>
      <c r="P2" s="6" t="s">
        <v>3</v>
      </c>
      <c r="Q2" s="6" t="s">
        <v>4</v>
      </c>
      <c r="R2" s="1" t="s">
        <v>5</v>
      </c>
      <c r="S2" s="1" t="s">
        <v>6</v>
      </c>
      <c r="T2" s="6" t="s">
        <v>7</v>
      </c>
      <c r="X2" s="6"/>
      <c r="Y2" s="6"/>
      <c r="AB2" s="6"/>
    </row>
    <row r="3" spans="2:28" s="1" customFormat="1" ht="40.5" customHeight="1" thickBot="1">
      <c r="B3" s="7" t="s">
        <v>8</v>
      </c>
      <c r="C3" s="8" t="s">
        <v>9</v>
      </c>
      <c r="D3" s="9" t="s">
        <v>1</v>
      </c>
      <c r="E3" s="7" t="s">
        <v>10</v>
      </c>
      <c r="F3" s="94" t="s">
        <v>3</v>
      </c>
      <c r="G3" s="95" t="s">
        <v>4</v>
      </c>
      <c r="H3" s="96" t="s">
        <v>5</v>
      </c>
      <c r="I3" s="96" t="s">
        <v>6</v>
      </c>
      <c r="J3" s="95" t="s">
        <v>7</v>
      </c>
      <c r="K3" s="97" t="s">
        <v>11</v>
      </c>
      <c r="N3" s="11" t="s">
        <v>12</v>
      </c>
      <c r="O3" s="10">
        <f>SUMIF($D$3:$D$26,N3,$E$3:$E$26)</f>
        <v>1420</v>
      </c>
      <c r="P3" s="10">
        <v>0</v>
      </c>
      <c r="Q3" s="10">
        <f>P3*150</f>
        <v>0</v>
      </c>
      <c r="R3" s="12">
        <v>44.9</v>
      </c>
      <c r="S3" s="13">
        <v>-0.5</v>
      </c>
      <c r="T3" s="89" t="e">
        <f>ACOS(SIN(RADIANS(R3))*SIN(RADIANS($R$3))+COS(RADIANS(R3))*COS(RADIANS($R$3))*COS(RADIANS(S3)-RADIANS($S$3)))*6371</f>
        <v>#NUM!</v>
      </c>
      <c r="Z3" s="15"/>
      <c r="AA3" s="15"/>
      <c r="AB3" s="14"/>
    </row>
    <row r="4" spans="2:28" s="1" customFormat="1" ht="15">
      <c r="B4" s="16"/>
      <c r="C4" s="17" t="s">
        <v>13</v>
      </c>
      <c r="D4" s="18" t="s">
        <v>12</v>
      </c>
      <c r="E4" s="19">
        <v>157.5</v>
      </c>
      <c r="F4" s="20">
        <v>5.9</v>
      </c>
      <c r="G4" s="10">
        <f>F4*150</f>
        <v>885</v>
      </c>
      <c r="H4" s="21">
        <v>38.7</v>
      </c>
      <c r="I4" s="22">
        <v>-9.1</v>
      </c>
      <c r="J4" s="23">
        <f aca="true" t="shared" si="0" ref="J4:K26">ACOS(SIN(RADIANS(90-H4))*SIN(RADIANS(90-VLOOKUP(D4,$N$3:$S$6,5,FALSE)))+COS(RADIANS(90-H4))*COS(RADIANS(90-VLOOKUP(D4,$N$3:$S$6,5,FALSE)))*COS(RADIANS(I4)-RADIANS(VLOOKUP(D4,$N$3:$S$6,6,FALSE))))*6371</f>
        <v>937.6780280535837</v>
      </c>
      <c r="K4" s="24">
        <f>(J4*'[1]Лист3'!$D$6*$E4*'[1]Лист3'!$C$37)+(E4*'[1]Лист3'!$C$36)</f>
        <v>54898.8441906382</v>
      </c>
      <c r="N4" s="25" t="s">
        <v>14</v>
      </c>
      <c r="O4" s="26">
        <f>SUMIF($D$3:$D$26,N4,$E$3:$E$26)</f>
        <v>721.25</v>
      </c>
      <c r="P4" s="26">
        <v>1.7</v>
      </c>
      <c r="Q4" s="26">
        <f>P4*150</f>
        <v>255</v>
      </c>
      <c r="R4" s="27">
        <v>44.4</v>
      </c>
      <c r="S4" s="28">
        <v>8.9</v>
      </c>
      <c r="T4" s="14">
        <f>ACOS(SIN(RADIANS(R4))*SIN(RADIANS($R$3))+COS(RADIANS(R4))*COS(RADIANS($R$3))*COS(RADIANS(S4)-RADIANS($S$3)))*6371</f>
        <v>745.2470025485734</v>
      </c>
      <c r="Z4" s="15"/>
      <c r="AA4" s="15"/>
      <c r="AB4" s="14"/>
    </row>
    <row r="5" spans="2:28" s="1" customFormat="1" ht="15">
      <c r="B5" s="16"/>
      <c r="C5" s="17" t="s">
        <v>15</v>
      </c>
      <c r="D5" s="18" t="s">
        <v>12</v>
      </c>
      <c r="E5" s="29">
        <v>26.25</v>
      </c>
      <c r="F5" s="30">
        <v>3.3</v>
      </c>
      <c r="G5" s="26">
        <f aca="true" t="shared" si="1" ref="G5:G26">F5*150</f>
        <v>495</v>
      </c>
      <c r="H5" s="31">
        <v>40.4</v>
      </c>
      <c r="I5" s="32">
        <v>-3.7</v>
      </c>
      <c r="J5" s="33">
        <f t="shared" si="0"/>
        <v>555.2942681627356</v>
      </c>
      <c r="K5" s="34">
        <f>(J5*'[1]Лист3'!$D$6*$E5*'[1]Лист3'!$C$37)+(E5*'[1]Лист3'!$C$36)</f>
        <v>5536.280834137851</v>
      </c>
      <c r="N5" s="35" t="s">
        <v>16</v>
      </c>
      <c r="O5" s="26">
        <f>SUMIF($D$3:$D$26,N5,$E$3:$E$26)</f>
        <v>1512.5</v>
      </c>
      <c r="P5" s="26">
        <v>3.1</v>
      </c>
      <c r="Q5" s="26">
        <f>P5*150</f>
        <v>465</v>
      </c>
      <c r="R5" s="27">
        <v>49.6</v>
      </c>
      <c r="S5" s="28">
        <v>6.1</v>
      </c>
      <c r="T5" s="14">
        <f>ACOS(SIN(RADIANS(R5))*SIN(RADIANS($R$3))+COS(RADIANS(R5))*COS(RADIANS($R$3))*COS(RADIANS(S5)-RADIANS($S$3)))*6371</f>
        <v>721.4692007282919</v>
      </c>
      <c r="AB5" s="14"/>
    </row>
    <row r="6" spans="2:28" s="1" customFormat="1" ht="15.75" thickBot="1">
      <c r="B6" s="16"/>
      <c r="C6" s="17" t="s">
        <v>17</v>
      </c>
      <c r="D6" s="18" t="s">
        <v>12</v>
      </c>
      <c r="E6" s="29">
        <v>43.75</v>
      </c>
      <c r="F6" s="30">
        <v>5.8</v>
      </c>
      <c r="G6" s="26">
        <f t="shared" si="1"/>
        <v>870</v>
      </c>
      <c r="H6" s="36">
        <v>36.7</v>
      </c>
      <c r="I6" s="32">
        <v>-4.4</v>
      </c>
      <c r="J6" s="33">
        <f t="shared" si="0"/>
        <v>954.4438439016858</v>
      </c>
      <c r="K6" s="34">
        <f>(J6*'[1]Лист3'!$D$6*$E6*'[1]Лист3'!$C$37)+(E6*'[1]Лист3'!$C$36)</f>
        <v>15513.74054145155</v>
      </c>
      <c r="N6" s="37" t="s">
        <v>18</v>
      </c>
      <c r="O6" s="38">
        <f>SUMIF($D$3:$D$26,N6,$E$3:$E$26)</f>
        <v>1108.75</v>
      </c>
      <c r="P6" s="38">
        <v>3</v>
      </c>
      <c r="Q6" s="38">
        <f>P6*150</f>
        <v>450</v>
      </c>
      <c r="R6" s="39">
        <v>48.1</v>
      </c>
      <c r="S6" s="40">
        <v>11.6</v>
      </c>
      <c r="T6" s="14">
        <f>ACOS(SIN(RADIANS(R6))*SIN(RADIANS($R$3))+COS(RADIANS(R6))*COS(RADIANS($R$3))*COS(RADIANS(S6)-RADIANS($S$3)))*6371</f>
        <v>990.8199200060396</v>
      </c>
      <c r="AB6" s="14"/>
    </row>
    <row r="7" spans="2:28" s="1" customFormat="1" ht="15">
      <c r="B7" s="16"/>
      <c r="C7" s="17" t="s">
        <v>19</v>
      </c>
      <c r="D7" s="18" t="s">
        <v>12</v>
      </c>
      <c r="E7" s="29">
        <v>13.75</v>
      </c>
      <c r="F7" s="30">
        <v>3.8</v>
      </c>
      <c r="G7" s="26">
        <f t="shared" si="1"/>
        <v>570</v>
      </c>
      <c r="H7" s="36">
        <v>43.7</v>
      </c>
      <c r="I7" s="32">
        <v>7.4</v>
      </c>
      <c r="J7" s="33">
        <f t="shared" si="0"/>
        <v>627.5696022801116</v>
      </c>
      <c r="K7" s="34">
        <f>(J7*'[1]Лист3'!$D$6*$E7*'[1]Лист3'!$C$37)+(E7*'[1]Лист3'!$C$36)</f>
        <v>3257.7195312865524</v>
      </c>
      <c r="O7" s="1">
        <f>SUM(O3:O6)</f>
        <v>4762.5</v>
      </c>
      <c r="R7" s="41"/>
      <c r="S7" s="41"/>
      <c r="T7" s="14"/>
      <c r="AB7" s="14"/>
    </row>
    <row r="8" spans="2:28" s="1" customFormat="1" ht="15">
      <c r="B8" s="16"/>
      <c r="C8" s="17" t="s">
        <v>20</v>
      </c>
      <c r="D8" s="18" t="s">
        <v>12</v>
      </c>
      <c r="E8" s="29">
        <v>75</v>
      </c>
      <c r="F8" s="30">
        <v>3</v>
      </c>
      <c r="G8" s="26">
        <f t="shared" si="1"/>
        <v>450</v>
      </c>
      <c r="H8" s="36">
        <v>48.8</v>
      </c>
      <c r="I8" s="32">
        <v>2.4</v>
      </c>
      <c r="J8" s="33">
        <f t="shared" si="0"/>
        <v>493.27985510144225</v>
      </c>
      <c r="K8" s="34">
        <f>(J8*'[1]Лист3'!$D$6*$E8*'[1]Лист3'!$C$37)+(E8*'[1]Лист3'!$C$36)</f>
        <v>14143.55608773894</v>
      </c>
      <c r="R8" s="26"/>
      <c r="S8" s="26"/>
      <c r="AB8" s="14"/>
    </row>
    <row r="9" spans="2:28" s="1" customFormat="1" ht="15">
      <c r="B9" s="16"/>
      <c r="C9" s="17" t="s">
        <v>21</v>
      </c>
      <c r="D9" s="18" t="s">
        <v>12</v>
      </c>
      <c r="E9" s="29">
        <v>81.25</v>
      </c>
      <c r="F9" s="30">
        <v>1.3</v>
      </c>
      <c r="G9" s="26">
        <f t="shared" si="1"/>
        <v>195</v>
      </c>
      <c r="H9" s="31">
        <v>43.6</v>
      </c>
      <c r="I9" s="32">
        <v>1.4</v>
      </c>
      <c r="J9" s="33">
        <f t="shared" si="0"/>
        <v>206.4561972153689</v>
      </c>
      <c r="K9" s="34">
        <f>(J9*'[1]Лист3'!$D$6*$E9*'[1]Лист3'!$C$37)+(E9*'[1]Лист3'!$C$36)</f>
        <v>6932.593768549539</v>
      </c>
      <c r="T9" s="14"/>
      <c r="AB9" s="14"/>
    </row>
    <row r="10" spans="2:28" s="1" customFormat="1" ht="15">
      <c r="B10" s="16"/>
      <c r="C10" s="17" t="s">
        <v>22</v>
      </c>
      <c r="D10" s="18" t="s">
        <v>12</v>
      </c>
      <c r="E10" s="29">
        <v>931.25</v>
      </c>
      <c r="F10" s="30">
        <v>3.9</v>
      </c>
      <c r="G10" s="26">
        <f t="shared" si="1"/>
        <v>585</v>
      </c>
      <c r="H10" s="31">
        <v>45.1</v>
      </c>
      <c r="I10" s="32">
        <v>7.7</v>
      </c>
      <c r="J10" s="33">
        <f t="shared" si="0"/>
        <v>644.8457478361058</v>
      </c>
      <c r="K10" s="34">
        <f>(J10*'[1]Лист3'!$D$6*$E10*'[1]Лист3'!$C$37)+(E10*'[1]Лист3'!$C$36)</f>
        <v>226428.28696205447</v>
      </c>
      <c r="AB10" s="14"/>
    </row>
    <row r="11" spans="2:28" s="1" customFormat="1" ht="15">
      <c r="B11" s="16"/>
      <c r="C11" s="17" t="s">
        <v>23</v>
      </c>
      <c r="D11" s="18" t="s">
        <v>12</v>
      </c>
      <c r="E11" s="19">
        <v>91.25</v>
      </c>
      <c r="F11" s="30">
        <v>3.6</v>
      </c>
      <c r="G11" s="26">
        <f t="shared" si="1"/>
        <v>540</v>
      </c>
      <c r="H11" s="31">
        <v>39.5</v>
      </c>
      <c r="I11" s="32">
        <v>-0.4</v>
      </c>
      <c r="J11" s="33">
        <f t="shared" si="0"/>
        <v>600.4988977806023</v>
      </c>
      <c r="K11" s="34">
        <f>(J11*'[1]Лист3'!$D$6*$E11*'[1]Лист3'!$C$37)+(E11*'[1]Лист3'!$C$36)</f>
        <v>20730.138792092785</v>
      </c>
      <c r="AB11" s="14"/>
    </row>
    <row r="12" spans="2:11" s="1" customFormat="1" ht="15">
      <c r="B12" s="16"/>
      <c r="C12" s="17" t="s">
        <v>14</v>
      </c>
      <c r="D12" s="91" t="s">
        <v>14</v>
      </c>
      <c r="E12" s="92">
        <v>163.75</v>
      </c>
      <c r="F12" s="30">
        <v>0</v>
      </c>
      <c r="G12" s="26">
        <f t="shared" si="1"/>
        <v>0</v>
      </c>
      <c r="H12" s="31">
        <v>44.4</v>
      </c>
      <c r="I12" s="32">
        <v>8.9</v>
      </c>
      <c r="J12" s="33">
        <f t="shared" si="0"/>
        <v>0</v>
      </c>
      <c r="K12" s="34">
        <f>(J12*'[1]Лист3'!$D$6*$E12*'[1]Лист3'!$C$37)+(E12*'[1]Лист3'!$C$36)</f>
        <v>1801.25</v>
      </c>
    </row>
    <row r="13" spans="2:11" s="1" customFormat="1" ht="15">
      <c r="B13" s="16"/>
      <c r="C13" s="93" t="s">
        <v>24</v>
      </c>
      <c r="D13" s="90" t="s">
        <v>14</v>
      </c>
      <c r="E13" s="88">
        <v>220</v>
      </c>
      <c r="F13" s="30">
        <v>0.7</v>
      </c>
      <c r="G13" s="26">
        <f t="shared" si="1"/>
        <v>105</v>
      </c>
      <c r="H13" s="36">
        <v>45.5</v>
      </c>
      <c r="I13" s="32">
        <v>9.2</v>
      </c>
      <c r="J13" s="33">
        <f t="shared" si="0"/>
        <v>124.56392355274251</v>
      </c>
      <c r="K13" s="34">
        <f>(J13*'[1]Лист3'!$D$6*$E13*'[1]Лист3'!$C$37)+(E13*'[1]Лист3'!$C$36)</f>
        <v>12285.462745377206</v>
      </c>
    </row>
    <row r="14" spans="2:11" s="1" customFormat="1" ht="15">
      <c r="B14" s="16"/>
      <c r="C14" s="93" t="s">
        <v>25</v>
      </c>
      <c r="D14" s="90" t="s">
        <v>14</v>
      </c>
      <c r="E14" s="88">
        <v>242.5</v>
      </c>
      <c r="F14" s="30">
        <v>3.6</v>
      </c>
      <c r="G14" s="26">
        <f t="shared" si="1"/>
        <v>540</v>
      </c>
      <c r="H14" s="36">
        <v>40.6</v>
      </c>
      <c r="I14" s="32">
        <v>14.2</v>
      </c>
      <c r="J14" s="33">
        <f t="shared" si="0"/>
        <v>580.2887326068854</v>
      </c>
      <c r="K14" s="34">
        <f>(J14*'[1]Лист3'!$D$6*$E14*'[1]Лист3'!$C$37)+(E14*'[1]Лист3'!$C$36)</f>
        <v>53326.7063565811</v>
      </c>
    </row>
    <row r="15" spans="2:14" s="1" customFormat="1" ht="15">
      <c r="B15" s="16"/>
      <c r="C15" s="93" t="s">
        <v>26</v>
      </c>
      <c r="D15" s="90" t="s">
        <v>14</v>
      </c>
      <c r="E15" s="87">
        <v>95</v>
      </c>
      <c r="F15" s="30">
        <v>2.5</v>
      </c>
      <c r="G15" s="26">
        <f t="shared" si="1"/>
        <v>375</v>
      </c>
      <c r="H15" s="31">
        <v>41.9</v>
      </c>
      <c r="I15" s="32">
        <v>12.5</v>
      </c>
      <c r="J15" s="33">
        <f t="shared" si="0"/>
        <v>390.0790878911418</v>
      </c>
      <c r="K15" s="34">
        <f>(J15*'[1]Лист3'!$D$6*$E15*'[1]Лист3'!$C$37)+(E15*'[1]Лист3'!$C$36)</f>
        <v>14385.704805877049</v>
      </c>
      <c r="N15" s="33"/>
    </row>
    <row r="16" spans="2:11" s="1" customFormat="1" ht="15">
      <c r="B16" s="16"/>
      <c r="C16" s="17" t="s">
        <v>27</v>
      </c>
      <c r="D16" s="42" t="s">
        <v>16</v>
      </c>
      <c r="E16" s="29">
        <v>15</v>
      </c>
      <c r="F16" s="30">
        <v>2</v>
      </c>
      <c r="G16" s="26">
        <f t="shared" si="1"/>
        <v>300</v>
      </c>
      <c r="H16" s="31">
        <v>52.4</v>
      </c>
      <c r="I16" s="43">
        <v>4.9</v>
      </c>
      <c r="J16" s="33">
        <f t="shared" si="0"/>
        <v>328.1507194774428</v>
      </c>
      <c r="K16" s="34">
        <f>(J16*'[1]Лист3'!$D$6*$E16*'[1]Лист3'!$C$37)+(E16*'[1]Лист3'!$C$36)</f>
        <v>1937.0138851781912</v>
      </c>
    </row>
    <row r="17" spans="2:11" s="1" customFormat="1" ht="15">
      <c r="B17" s="16"/>
      <c r="C17" s="17" t="s">
        <v>28</v>
      </c>
      <c r="D17" s="42" t="s">
        <v>16</v>
      </c>
      <c r="E17" s="29">
        <v>23.75</v>
      </c>
      <c r="F17" s="30">
        <v>1.1</v>
      </c>
      <c r="G17" s="26">
        <f t="shared" si="1"/>
        <v>165</v>
      </c>
      <c r="H17" s="31">
        <v>50.8</v>
      </c>
      <c r="I17" s="43">
        <v>4.4</v>
      </c>
      <c r="J17" s="33">
        <f t="shared" si="0"/>
        <v>197.21374537754562</v>
      </c>
      <c r="K17" s="34">
        <f>(J17*'[1]Лист3'!$D$6*$E17*'[1]Лист3'!$C$37)+(E17*'[1]Лист3'!$C$36)</f>
        <v>1947.4275229780148</v>
      </c>
    </row>
    <row r="18" spans="2:11" s="1" customFormat="1" ht="15">
      <c r="B18" s="16"/>
      <c r="C18" s="17" t="s">
        <v>80</v>
      </c>
      <c r="D18" s="42" t="s">
        <v>16</v>
      </c>
      <c r="E18" s="29">
        <v>360</v>
      </c>
      <c r="F18" s="30">
        <v>1</v>
      </c>
      <c r="G18" s="26">
        <f t="shared" si="1"/>
        <v>150</v>
      </c>
      <c r="H18" s="36">
        <v>50.9</v>
      </c>
      <c r="I18" s="43">
        <v>7</v>
      </c>
      <c r="J18" s="33">
        <f t="shared" si="0"/>
        <v>163.75272533797474</v>
      </c>
      <c r="K18" s="34">
        <f>(J18*'[1]Лист3'!$D$6*$E18*'[1]Лист3'!$C$37)+(E18*'[1]Лист3'!$C$36)</f>
        <v>25182.353203801526</v>
      </c>
    </row>
    <row r="19" spans="2:11" s="1" customFormat="1" ht="15">
      <c r="B19" s="16"/>
      <c r="C19" s="17" t="s">
        <v>29</v>
      </c>
      <c r="D19" s="42" t="s">
        <v>16</v>
      </c>
      <c r="E19" s="29">
        <v>885</v>
      </c>
      <c r="F19" s="30">
        <v>4.8</v>
      </c>
      <c r="G19" s="26">
        <f t="shared" si="1"/>
        <v>720</v>
      </c>
      <c r="H19" s="36">
        <v>55.7</v>
      </c>
      <c r="I19" s="43">
        <v>12.6</v>
      </c>
      <c r="J19" s="33">
        <f t="shared" si="0"/>
        <v>888.3732430959383</v>
      </c>
      <c r="K19" s="34">
        <f>(J19*'[1]Лист3'!$D$6*$E19*'[1]Лист3'!$C$37)+(E19*'[1]Лист3'!$C$36)</f>
        <v>292770.7152503659</v>
      </c>
    </row>
    <row r="20" spans="2:11" s="1" customFormat="1" ht="15">
      <c r="B20" s="16"/>
      <c r="C20" s="17" t="s">
        <v>30</v>
      </c>
      <c r="D20" s="42" t="s">
        <v>16</v>
      </c>
      <c r="E20" s="29">
        <v>46.25</v>
      </c>
      <c r="F20" s="30">
        <v>3</v>
      </c>
      <c r="G20" s="26">
        <f t="shared" si="1"/>
        <v>450</v>
      </c>
      <c r="H20" s="36">
        <v>53.6</v>
      </c>
      <c r="I20" s="43">
        <v>10</v>
      </c>
      <c r="J20" s="33">
        <f t="shared" si="0"/>
        <v>559.623953858538</v>
      </c>
      <c r="K20" s="34">
        <f>(J20*'[1]Лист3'!$D$6*$E20*'[1]Лист3'!$C$37)+(E20*'[1]Лист3'!$C$36)</f>
        <v>9826.488831744657</v>
      </c>
    </row>
    <row r="21" spans="2:11" s="1" customFormat="1" ht="15">
      <c r="B21" s="16"/>
      <c r="C21" s="17" t="s">
        <v>16</v>
      </c>
      <c r="D21" s="42" t="s">
        <v>16</v>
      </c>
      <c r="E21" s="29">
        <v>45</v>
      </c>
      <c r="F21" s="30">
        <v>0</v>
      </c>
      <c r="G21" s="26">
        <f t="shared" si="1"/>
        <v>0</v>
      </c>
      <c r="H21" s="36">
        <v>49.6</v>
      </c>
      <c r="I21" s="43">
        <v>6.1</v>
      </c>
      <c r="J21" s="33">
        <f t="shared" si="0"/>
        <v>0</v>
      </c>
      <c r="K21" s="34">
        <f>(J21*'[1]Лист3'!$D$6*$E21*'[1]Лист3'!$C$37)+(E21*'[1]Лист3'!$C$36)</f>
        <v>495</v>
      </c>
    </row>
    <row r="22" spans="2:11" s="1" customFormat="1" ht="15">
      <c r="B22" s="16"/>
      <c r="C22" s="17" t="s">
        <v>31</v>
      </c>
      <c r="D22" s="42" t="s">
        <v>16</v>
      </c>
      <c r="E22" s="29">
        <v>137.5</v>
      </c>
      <c r="F22" s="30">
        <v>4.8</v>
      </c>
      <c r="G22" s="26">
        <f t="shared" si="1"/>
        <v>720</v>
      </c>
      <c r="H22" s="31">
        <v>52.4</v>
      </c>
      <c r="I22" s="43">
        <v>16.9</v>
      </c>
      <c r="J22" s="33">
        <f t="shared" si="0"/>
        <v>983.0603309532753</v>
      </c>
      <c r="K22" s="34">
        <f>(J22*'[1]Лист3'!$D$6*$E22*'[1]Лист3'!$C$37)+(E22*'[1]Лист3'!$C$36)</f>
        <v>50173.986382187126</v>
      </c>
    </row>
    <row r="23" spans="2:11" s="1" customFormat="1" ht="15">
      <c r="B23" s="16"/>
      <c r="C23" s="17" t="s">
        <v>32</v>
      </c>
      <c r="D23" s="18" t="s">
        <v>18</v>
      </c>
      <c r="E23" s="44">
        <v>477.5</v>
      </c>
      <c r="F23" s="30">
        <v>2.7</v>
      </c>
      <c r="G23" s="26">
        <f t="shared" si="1"/>
        <v>405</v>
      </c>
      <c r="H23" s="36">
        <v>46.2</v>
      </c>
      <c r="I23" s="32">
        <v>6.1</v>
      </c>
      <c r="J23" s="33">
        <f t="shared" si="0"/>
        <v>495.50959854947206</v>
      </c>
      <c r="K23" s="34">
        <f>(J23*'[1]Лист3'!$D$6*$E23*'[1]Лист3'!$C$37)+(E23*'[1]Лист3'!$C$36)</f>
        <v>90430.59999065424</v>
      </c>
    </row>
    <row r="24" spans="2:11" s="1" customFormat="1" ht="15">
      <c r="B24" s="16"/>
      <c r="C24" s="17" t="s">
        <v>18</v>
      </c>
      <c r="D24" s="18" t="s">
        <v>18</v>
      </c>
      <c r="E24" s="29">
        <v>67.5</v>
      </c>
      <c r="F24" s="30">
        <v>0</v>
      </c>
      <c r="G24" s="26">
        <f t="shared" si="1"/>
        <v>0</v>
      </c>
      <c r="H24" s="36">
        <v>48.1</v>
      </c>
      <c r="I24" s="32">
        <v>11.6</v>
      </c>
      <c r="J24" s="33">
        <f t="shared" si="0"/>
        <v>0.00013425878504835786</v>
      </c>
      <c r="K24" s="34">
        <f>(J24*'[1]Лист3'!$D$6*$E24*'[1]Лист3'!$C$37)+(E24*'[1]Лист3'!$C$36)</f>
        <v>742.5032624884767</v>
      </c>
    </row>
    <row r="25" spans="2:11" s="1" customFormat="1" ht="15">
      <c r="B25" s="16"/>
      <c r="C25" s="17" t="s">
        <v>33</v>
      </c>
      <c r="D25" s="18" t="s">
        <v>18</v>
      </c>
      <c r="E25" s="29">
        <v>103.75</v>
      </c>
      <c r="F25" s="30">
        <v>1.1</v>
      </c>
      <c r="G25" s="26">
        <f t="shared" si="1"/>
        <v>165</v>
      </c>
      <c r="H25" s="36">
        <v>48.8</v>
      </c>
      <c r="I25" s="32">
        <v>9.2</v>
      </c>
      <c r="J25" s="33">
        <f t="shared" si="0"/>
        <v>214.33963255783289</v>
      </c>
      <c r="K25" s="34">
        <f>(J25*'[1]Лист3'!$D$6*$E25*'[1]Лист3'!$C$37)+(E25*'[1]Лист3'!$C$36)</f>
        <v>9146.835276035057</v>
      </c>
    </row>
    <row r="26" spans="2:11" s="1" customFormat="1" ht="15.75" thickBot="1">
      <c r="B26" s="45"/>
      <c r="C26" s="46" t="s">
        <v>81</v>
      </c>
      <c r="D26" s="47" t="s">
        <v>18</v>
      </c>
      <c r="E26" s="48">
        <v>460</v>
      </c>
      <c r="F26" s="49">
        <v>2.1</v>
      </c>
      <c r="G26" s="38">
        <f t="shared" si="1"/>
        <v>315</v>
      </c>
      <c r="H26" s="50">
        <v>48.2</v>
      </c>
      <c r="I26" s="51">
        <v>16.4</v>
      </c>
      <c r="J26" s="52">
        <f t="shared" si="0"/>
        <v>397.6800546594349</v>
      </c>
      <c r="K26" s="53">
        <f>(J26*'[1]Лист3'!$D$6*$E26*'[1]Лист3'!$C$37)+(E26*'[1]Лист3'!$C$36)</f>
        <v>70915.81705160241</v>
      </c>
    </row>
    <row r="27" spans="2:5" s="1" customFormat="1" ht="13.5" thickBot="1">
      <c r="B27" s="54" t="s">
        <v>34</v>
      </c>
      <c r="C27" s="55"/>
      <c r="D27" s="56"/>
      <c r="E27" s="57">
        <f>SUM(E4:E26)</f>
        <v>4762.5</v>
      </c>
    </row>
    <row r="28" s="1" customFormat="1" ht="12.75"/>
  </sheetData>
  <mergeCells count="1">
    <mergeCell ref="B27:C2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3"/>
  <sheetViews>
    <sheetView tabSelected="1" workbookViewId="0" topLeftCell="A34">
      <selection activeCell="D51" sqref="D51"/>
    </sheetView>
  </sheetViews>
  <sheetFormatPr defaultColWidth="9.00390625" defaultRowHeight="12.75"/>
  <cols>
    <col min="1" max="1" width="9.125" style="86" customWidth="1"/>
    <col min="2" max="2" width="12.125" style="86" customWidth="1"/>
    <col min="3" max="3" width="14.125" style="86" customWidth="1"/>
    <col min="4" max="6" width="9.125" style="86" customWidth="1"/>
    <col min="7" max="8" width="9.75390625" style="86" customWidth="1"/>
    <col min="9" max="16384" width="9.125" style="86" customWidth="1"/>
  </cols>
  <sheetData>
    <row r="1" spans="1:11" s="72" customFormat="1" ht="15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s="72" customFormat="1" ht="15">
      <c r="A2" s="71"/>
      <c r="B2" s="63" t="s">
        <v>35</v>
      </c>
      <c r="C2" s="73"/>
      <c r="D2" s="73"/>
      <c r="E2" s="73"/>
      <c r="F2" s="71"/>
      <c r="G2" s="64" t="s">
        <v>36</v>
      </c>
      <c r="H2" s="64"/>
      <c r="I2" s="71"/>
      <c r="J2" s="71"/>
      <c r="K2" s="71"/>
    </row>
    <row r="3" spans="1:11" s="72" customFormat="1" ht="15">
      <c r="A3" s="71"/>
      <c r="B3" s="71" t="s">
        <v>37</v>
      </c>
      <c r="C3" s="71"/>
      <c r="D3" s="71">
        <v>150</v>
      </c>
      <c r="E3" s="71"/>
      <c r="F3" s="71"/>
      <c r="G3" s="71" t="s">
        <v>38</v>
      </c>
      <c r="H3" s="74">
        <f>F21</f>
        <v>416129.15403148107</v>
      </c>
      <c r="I3" s="71"/>
      <c r="J3" s="71"/>
      <c r="K3" s="71"/>
    </row>
    <row r="4" spans="1:11" s="72" customFormat="1" ht="15">
      <c r="A4" s="71"/>
      <c r="B4" s="71" t="s">
        <v>39</v>
      </c>
      <c r="C4" s="71"/>
      <c r="D4" s="71">
        <v>2400</v>
      </c>
      <c r="E4" s="71" t="s">
        <v>40</v>
      </c>
      <c r="F4" s="71"/>
      <c r="G4" s="71" t="s">
        <v>1</v>
      </c>
      <c r="H4" s="74">
        <f>F33</f>
        <v>253673</v>
      </c>
      <c r="I4" s="71"/>
      <c r="J4" s="71"/>
      <c r="K4" s="71"/>
    </row>
    <row r="5" spans="1:11" s="72" customFormat="1" ht="15">
      <c r="A5" s="71"/>
      <c r="B5" s="65" t="s">
        <v>41</v>
      </c>
      <c r="C5" s="71"/>
      <c r="D5" s="75">
        <f>(D4*0.2)/12</f>
        <v>40</v>
      </c>
      <c r="E5" s="65" t="s">
        <v>42</v>
      </c>
      <c r="F5" s="71"/>
      <c r="G5" s="65" t="s">
        <v>43</v>
      </c>
      <c r="H5" s="74">
        <f>E45</f>
        <v>901009.9013649855</v>
      </c>
      <c r="I5" s="71"/>
      <c r="J5" s="71"/>
      <c r="K5" s="71"/>
    </row>
    <row r="6" spans="1:11" s="72" customFormat="1" ht="15">
      <c r="A6" s="71"/>
      <c r="B6" s="66" t="s">
        <v>44</v>
      </c>
      <c r="C6" s="76"/>
      <c r="D6" s="71">
        <v>1.2</v>
      </c>
      <c r="E6" s="71"/>
      <c r="F6" s="71"/>
      <c r="G6" s="71" t="s">
        <v>45</v>
      </c>
      <c r="H6" s="74">
        <f>K33</f>
        <v>152399.99999999997</v>
      </c>
      <c r="I6" s="71"/>
      <c r="J6" s="71"/>
      <c r="K6" s="71"/>
    </row>
    <row r="7" spans="1:11" s="72" customFormat="1" ht="15">
      <c r="A7" s="71"/>
      <c r="B7" s="66" t="s">
        <v>46</v>
      </c>
      <c r="C7" s="66"/>
      <c r="D7" s="75">
        <f>SUM('[2]Лист5'!D4:D26)</f>
        <v>4762.5</v>
      </c>
      <c r="E7" s="71" t="s">
        <v>47</v>
      </c>
      <c r="F7" s="71"/>
      <c r="G7" s="71" t="s">
        <v>48</v>
      </c>
      <c r="H7" s="74">
        <f>SUM(H3:H6)</f>
        <v>1723212.0553964665</v>
      </c>
      <c r="I7" s="71"/>
      <c r="J7" s="71"/>
      <c r="K7" s="71"/>
    </row>
    <row r="8" spans="1:11" s="72" customFormat="1" ht="15">
      <c r="A8" s="71"/>
      <c r="B8" s="67"/>
      <c r="C8" s="71"/>
      <c r="D8" s="71"/>
      <c r="E8" s="71"/>
      <c r="F8" s="71"/>
      <c r="G8" s="68" t="s">
        <v>49</v>
      </c>
      <c r="H8" s="69">
        <f>(H7*52)/1000</f>
        <v>89607.02688061626</v>
      </c>
      <c r="I8" s="71"/>
      <c r="J8" s="71"/>
      <c r="K8" s="71"/>
    </row>
    <row r="9" spans="1:11" s="72" customFormat="1" ht="15">
      <c r="A9" s="71"/>
      <c r="B9" s="71"/>
      <c r="C9" s="71"/>
      <c r="D9" s="71"/>
      <c r="E9" s="71"/>
      <c r="F9" s="71"/>
      <c r="G9" s="68" t="s">
        <v>50</v>
      </c>
      <c r="H9" s="69">
        <f>H7/D7</f>
        <v>361.82930297038666</v>
      </c>
      <c r="I9" s="71"/>
      <c r="J9" s="71"/>
      <c r="K9" s="71"/>
    </row>
    <row r="10" spans="1:11" s="72" customFormat="1" ht="15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</row>
    <row r="11" spans="1:11" s="72" customFormat="1" ht="18" customHeight="1">
      <c r="A11" s="71"/>
      <c r="B11" s="68" t="s">
        <v>51</v>
      </c>
      <c r="C11" s="71"/>
      <c r="D11" s="71"/>
      <c r="E11" s="71"/>
      <c r="F11" s="71"/>
      <c r="G11" s="71"/>
      <c r="H11" s="71"/>
      <c r="I11" s="71"/>
      <c r="J11" s="71"/>
      <c r="K11" s="71"/>
    </row>
    <row r="12" spans="1:11" s="72" customFormat="1" ht="15">
      <c r="A12" s="71"/>
      <c r="B12" s="65" t="s">
        <v>52</v>
      </c>
      <c r="C12" s="71">
        <v>7</v>
      </c>
      <c r="D12" s="71" t="s">
        <v>40</v>
      </c>
      <c r="E12" s="71"/>
      <c r="F12" s="71"/>
      <c r="G12" s="71"/>
      <c r="H12" s="71"/>
      <c r="I12" s="71"/>
      <c r="J12" s="71"/>
      <c r="K12" s="71"/>
    </row>
    <row r="13" spans="1:11" s="72" customFormat="1" ht="15">
      <c r="A13" s="71"/>
      <c r="B13" s="71"/>
      <c r="C13" s="71">
        <v>0.12</v>
      </c>
      <c r="D13" s="71" t="s">
        <v>53</v>
      </c>
      <c r="E13" s="71"/>
      <c r="F13" s="71"/>
      <c r="G13" s="71"/>
      <c r="H13" s="71"/>
      <c r="I13" s="71"/>
      <c r="J13" s="71"/>
      <c r="K13" s="71"/>
    </row>
    <row r="14" spans="1:11" s="72" customFormat="1" ht="15">
      <c r="A14" s="71"/>
      <c r="B14" s="71"/>
      <c r="C14" s="71"/>
      <c r="D14" s="71"/>
      <c r="E14" s="71"/>
      <c r="F14" s="71"/>
      <c r="G14" s="71"/>
      <c r="H14" s="71"/>
      <c r="I14" s="71"/>
      <c r="J14" s="71"/>
      <c r="K14" s="71"/>
    </row>
    <row r="15" spans="1:11" s="72" customFormat="1" ht="60.75" thickBot="1">
      <c r="A15" s="71"/>
      <c r="B15" s="64"/>
      <c r="C15" s="70" t="s">
        <v>54</v>
      </c>
      <c r="D15" s="70" t="s">
        <v>55</v>
      </c>
      <c r="E15" s="70" t="s">
        <v>56</v>
      </c>
      <c r="F15" s="70" t="s">
        <v>57</v>
      </c>
      <c r="G15" s="71"/>
      <c r="H15" s="71"/>
      <c r="I15" s="71"/>
      <c r="J15" s="71"/>
      <c r="K15" s="71"/>
    </row>
    <row r="16" spans="1:11" s="72" customFormat="1" ht="15">
      <c r="A16" s="71"/>
      <c r="B16" s="77" t="s">
        <v>12</v>
      </c>
      <c r="C16" s="71"/>
      <c r="D16" s="75">
        <f>'[1]Лист2'!T3*$D$6</f>
        <v>0</v>
      </c>
      <c r="E16" s="71">
        <f>'[2]Лист5'!N3</f>
        <v>1420</v>
      </c>
      <c r="F16" s="74">
        <v>0</v>
      </c>
      <c r="G16" s="71"/>
      <c r="H16" s="58">
        <v>10000</v>
      </c>
      <c r="I16" s="59">
        <v>42.3</v>
      </c>
      <c r="J16" s="71"/>
      <c r="K16" s="71"/>
    </row>
    <row r="17" spans="1:11" s="72" customFormat="1" ht="15">
      <c r="A17" s="71"/>
      <c r="B17" s="78" t="s">
        <v>58</v>
      </c>
      <c r="C17" s="71"/>
      <c r="D17" s="75">
        <f>'[1]Лист2'!T4*$D$6</f>
        <v>894.2964030582881</v>
      </c>
      <c r="E17" s="71">
        <f>'[2]Лист5'!N4</f>
        <v>721.25</v>
      </c>
      <c r="F17" s="74">
        <f>(E17*$C$12)+(E17*D17*$C$13)</f>
        <v>82450.10368469483</v>
      </c>
      <c r="G17" s="71"/>
      <c r="H17" s="58">
        <v>9700</v>
      </c>
      <c r="I17" s="59">
        <v>43</v>
      </c>
      <c r="J17" s="71"/>
      <c r="K17" s="71"/>
    </row>
    <row r="18" spans="1:11" s="72" customFormat="1" ht="15">
      <c r="A18" s="71"/>
      <c r="B18" s="60" t="s">
        <v>16</v>
      </c>
      <c r="C18" s="71"/>
      <c r="D18" s="75">
        <f>'[1]Лист2'!T5*$D$6</f>
        <v>865.7630408739502</v>
      </c>
      <c r="E18" s="71">
        <f>'[2]Лист5'!N5</f>
        <v>1512.5</v>
      </c>
      <c r="F18" s="74">
        <f>(E18*$C$12)+(E18*D18*$C$13)</f>
        <v>167723.49191862196</v>
      </c>
      <c r="G18" s="71"/>
      <c r="H18" s="58">
        <v>11000</v>
      </c>
      <c r="I18" s="59">
        <v>44.3</v>
      </c>
      <c r="J18" s="71"/>
      <c r="K18" s="71"/>
    </row>
    <row r="19" spans="1:11" s="72" customFormat="1" ht="15.75" thickBot="1">
      <c r="A19" s="71"/>
      <c r="B19" s="79" t="s">
        <v>18</v>
      </c>
      <c r="C19" s="71"/>
      <c r="D19" s="75">
        <f>'[1]Лист2'!T6*$D$6</f>
        <v>1188.9839040072475</v>
      </c>
      <c r="E19" s="71">
        <f>'[2]Лист5'!N6</f>
        <v>1108.75</v>
      </c>
      <c r="F19" s="74">
        <f>(E19*$C$12)+(E19*D19*$C$13)</f>
        <v>165955.55842816428</v>
      </c>
      <c r="G19" s="71"/>
      <c r="H19" s="61">
        <v>13000</v>
      </c>
      <c r="I19" s="59">
        <v>46.8</v>
      </c>
      <c r="J19" s="71"/>
      <c r="K19" s="71"/>
    </row>
    <row r="20" spans="1:11" s="72" customFormat="1" ht="15">
      <c r="A20" s="71"/>
      <c r="B20" s="71"/>
      <c r="C20" s="71"/>
      <c r="D20" s="75"/>
      <c r="E20" s="71"/>
      <c r="F20" s="74"/>
      <c r="G20" s="71"/>
      <c r="H20" s="71"/>
      <c r="I20" s="71"/>
      <c r="J20" s="71"/>
      <c r="K20" s="71"/>
    </row>
    <row r="21" spans="1:11" s="72" customFormat="1" ht="15">
      <c r="A21" s="71"/>
      <c r="B21" s="65" t="s">
        <v>59</v>
      </c>
      <c r="C21" s="80"/>
      <c r="D21" s="81">
        <f>SUM(D16:D20)</f>
        <v>2949.043347939486</v>
      </c>
      <c r="E21" s="71">
        <f>SUM(E16:E20)</f>
        <v>4762.5</v>
      </c>
      <c r="F21" s="62">
        <f>SUM(F16:F20)</f>
        <v>416129.15403148107</v>
      </c>
      <c r="G21" s="71"/>
      <c r="H21" s="71"/>
      <c r="I21" s="71"/>
      <c r="J21" s="71"/>
      <c r="K21" s="71"/>
    </row>
    <row r="22" spans="1:11" s="72" customFormat="1" ht="15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</row>
    <row r="23" spans="1:11" s="72" customFormat="1" ht="15">
      <c r="A23" s="71"/>
      <c r="B23" s="68" t="s">
        <v>60</v>
      </c>
      <c r="C23" s="71"/>
      <c r="D23" s="71"/>
      <c r="E23" s="71"/>
      <c r="F23" s="71"/>
      <c r="G23" s="71"/>
      <c r="H23" s="71"/>
      <c r="I23" s="68" t="s">
        <v>61</v>
      </c>
      <c r="J23" s="71"/>
      <c r="K23" s="71" t="s">
        <v>62</v>
      </c>
    </row>
    <row r="24" spans="1:11" s="72" customFormat="1" ht="15">
      <c r="A24" s="71"/>
      <c r="B24" s="71" t="s">
        <v>63</v>
      </c>
      <c r="C24" s="71"/>
      <c r="D24" s="71"/>
      <c r="E24" s="71" t="s">
        <v>64</v>
      </c>
      <c r="F24" s="71"/>
      <c r="G24" s="71"/>
      <c r="H24" s="71"/>
      <c r="I24" s="65" t="s">
        <v>65</v>
      </c>
      <c r="J24" s="71"/>
      <c r="K24" s="71">
        <v>0.1</v>
      </c>
    </row>
    <row r="25" spans="1:11" s="72" customFormat="1" ht="15">
      <c r="A25" s="71"/>
      <c r="B25" s="71" t="s">
        <v>66</v>
      </c>
      <c r="C25" s="71"/>
      <c r="D25" s="71"/>
      <c r="E25" s="71" t="s">
        <v>67</v>
      </c>
      <c r="F25" s="71"/>
      <c r="G25" s="71"/>
      <c r="H25" s="71"/>
      <c r="I25" s="71" t="s">
        <v>68</v>
      </c>
      <c r="J25" s="71"/>
      <c r="K25" s="71">
        <v>0.7</v>
      </c>
    </row>
    <row r="26" spans="1:11" s="72" customFormat="1" ht="15">
      <c r="A26" s="71"/>
      <c r="B26" s="71"/>
      <c r="C26" s="71"/>
      <c r="D26" s="71"/>
      <c r="E26" s="71"/>
      <c r="F26" s="71"/>
      <c r="G26" s="71"/>
      <c r="H26" s="71"/>
      <c r="I26" s="71"/>
      <c r="J26" s="71"/>
      <c r="K26" s="71"/>
    </row>
    <row r="27" spans="1:11" s="72" customFormat="1" ht="45.75" thickBot="1">
      <c r="A27" s="71"/>
      <c r="B27" s="64"/>
      <c r="C27" s="70" t="s">
        <v>69</v>
      </c>
      <c r="D27" s="70" t="s">
        <v>70</v>
      </c>
      <c r="E27" s="70" t="s">
        <v>71</v>
      </c>
      <c r="F27" s="70" t="s">
        <v>72</v>
      </c>
      <c r="G27" s="68"/>
      <c r="H27" s="71"/>
      <c r="I27" s="64"/>
      <c r="J27" s="70" t="s">
        <v>73</v>
      </c>
      <c r="K27" s="64" t="s">
        <v>57</v>
      </c>
    </row>
    <row r="28" spans="1:11" s="72" customFormat="1" ht="15">
      <c r="A28" s="71"/>
      <c r="B28" s="77" t="s">
        <v>12</v>
      </c>
      <c r="C28" s="71">
        <f>E16</f>
        <v>1420</v>
      </c>
      <c r="D28" s="71">
        <f>H16</f>
        <v>10000</v>
      </c>
      <c r="E28" s="71">
        <f>C28*I16</f>
        <v>60065.99999999999</v>
      </c>
      <c r="F28" s="71">
        <f>E28+D28</f>
        <v>70066</v>
      </c>
      <c r="G28" s="71"/>
      <c r="H28" s="71"/>
      <c r="I28" s="71" t="s">
        <v>28</v>
      </c>
      <c r="J28" s="71">
        <f>C28</f>
        <v>1420</v>
      </c>
      <c r="K28" s="82">
        <f>J28*$D$5*($K$24+$K$25)</f>
        <v>45439.99999999999</v>
      </c>
    </row>
    <row r="29" spans="1:11" s="72" customFormat="1" ht="15">
      <c r="A29" s="71"/>
      <c r="B29" s="78" t="s">
        <v>58</v>
      </c>
      <c r="C29" s="71">
        <f>E17</f>
        <v>721.25</v>
      </c>
      <c r="D29" s="71">
        <f>H17</f>
        <v>9700</v>
      </c>
      <c r="E29" s="71">
        <f>C29*I17</f>
        <v>31013.75</v>
      </c>
      <c r="F29" s="71">
        <f>E29+D29</f>
        <v>40713.75</v>
      </c>
      <c r="G29" s="71"/>
      <c r="H29" s="71"/>
      <c r="I29" s="71" t="s">
        <v>20</v>
      </c>
      <c r="J29" s="71">
        <f>C29</f>
        <v>721.25</v>
      </c>
      <c r="K29" s="82">
        <f>J29*$D$5*($K$24+$K$25)</f>
        <v>23079.999999999996</v>
      </c>
    </row>
    <row r="30" spans="1:11" s="72" customFormat="1" ht="15">
      <c r="A30" s="71"/>
      <c r="B30" s="60" t="s">
        <v>16</v>
      </c>
      <c r="C30" s="71">
        <f>E18</f>
        <v>1512.5</v>
      </c>
      <c r="D30" s="71">
        <f>H18</f>
        <v>11000</v>
      </c>
      <c r="E30" s="71">
        <f>C30*I18</f>
        <v>67003.75</v>
      </c>
      <c r="F30" s="71">
        <f>E30+D30</f>
        <v>78003.75</v>
      </c>
      <c r="G30" s="71"/>
      <c r="H30" s="71"/>
      <c r="I30" s="71" t="s">
        <v>30</v>
      </c>
      <c r="J30" s="71">
        <f>C30</f>
        <v>1512.5</v>
      </c>
      <c r="K30" s="82">
        <f>J30*$D$5*($K$24+$K$25)</f>
        <v>48399.99999999999</v>
      </c>
    </row>
    <row r="31" spans="1:11" s="72" customFormat="1" ht="15.75" thickBot="1">
      <c r="A31" s="71"/>
      <c r="B31" s="79" t="s">
        <v>18</v>
      </c>
      <c r="C31" s="71">
        <f>E19</f>
        <v>1108.75</v>
      </c>
      <c r="D31" s="71">
        <f>H19</f>
        <v>13000</v>
      </c>
      <c r="E31" s="71">
        <f>C31*I19</f>
        <v>51889.5</v>
      </c>
      <c r="F31" s="71">
        <f>E31+D31</f>
        <v>64889.5</v>
      </c>
      <c r="G31" s="71"/>
      <c r="H31" s="71"/>
      <c r="I31" s="71" t="s">
        <v>74</v>
      </c>
      <c r="J31" s="71">
        <f>C31</f>
        <v>1108.75</v>
      </c>
      <c r="K31" s="82">
        <f>J31*$D$5*($K$24+$K$25)</f>
        <v>35480</v>
      </c>
    </row>
    <row r="32" spans="1:11" s="72" customFormat="1" ht="15">
      <c r="A32" s="71"/>
      <c r="B32" s="71"/>
      <c r="C32" s="71"/>
      <c r="D32" s="71"/>
      <c r="E32" s="71"/>
      <c r="F32" s="71"/>
      <c r="G32" s="71"/>
      <c r="H32" s="71"/>
      <c r="I32" s="71" t="s">
        <v>26</v>
      </c>
      <c r="J32" s="71">
        <f>C32</f>
        <v>0</v>
      </c>
      <c r="K32" s="82">
        <f>J32*$D$5*($K$24+$K$25)</f>
        <v>0</v>
      </c>
    </row>
    <row r="33" spans="1:11" s="72" customFormat="1" ht="15">
      <c r="A33" s="71"/>
      <c r="B33" s="65" t="s">
        <v>59</v>
      </c>
      <c r="C33" s="71">
        <f>SUM(C28:C32)</f>
        <v>4762.5</v>
      </c>
      <c r="D33" s="71">
        <f>SUM(D28:D32)</f>
        <v>43700</v>
      </c>
      <c r="E33" s="71">
        <f>SUM(E28:E32)</f>
        <v>209973</v>
      </c>
      <c r="F33" s="71">
        <f>SUM(F28:F32)</f>
        <v>253673</v>
      </c>
      <c r="G33" s="71"/>
      <c r="H33" s="71"/>
      <c r="I33" s="65" t="s">
        <v>59</v>
      </c>
      <c r="J33" s="71">
        <f>C33</f>
        <v>4762.5</v>
      </c>
      <c r="K33" s="82">
        <f>SUM(K28:K32)</f>
        <v>152399.99999999997</v>
      </c>
    </row>
    <row r="34" spans="1:11" s="72" customFormat="1" ht="15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</row>
    <row r="35" spans="1:11" s="72" customFormat="1" ht="15">
      <c r="A35" s="71"/>
      <c r="B35" s="68" t="s">
        <v>43</v>
      </c>
      <c r="C35" s="71"/>
      <c r="D35" s="71"/>
      <c r="E35" s="71"/>
      <c r="F35" s="71"/>
      <c r="G35" s="71"/>
      <c r="H35" s="71"/>
      <c r="I35" s="71"/>
      <c r="J35" s="71"/>
      <c r="K35" s="71"/>
    </row>
    <row r="36" spans="1:11" s="72" customFormat="1" ht="15">
      <c r="A36" s="71"/>
      <c r="B36" s="65" t="s">
        <v>52</v>
      </c>
      <c r="C36" s="71">
        <v>11</v>
      </c>
      <c r="D36" s="71" t="s">
        <v>40</v>
      </c>
      <c r="E36" s="71"/>
      <c r="F36" s="71"/>
      <c r="G36" s="71"/>
      <c r="H36" s="71"/>
      <c r="I36" s="71"/>
      <c r="J36" s="71"/>
      <c r="K36" s="71"/>
    </row>
    <row r="37" spans="1:11" s="72" customFormat="1" ht="15">
      <c r="A37" s="71"/>
      <c r="B37" s="71"/>
      <c r="C37" s="71">
        <v>0.3</v>
      </c>
      <c r="D37" s="71" t="s">
        <v>53</v>
      </c>
      <c r="E37" s="71"/>
      <c r="F37" s="71"/>
      <c r="G37" s="71"/>
      <c r="H37" s="71"/>
      <c r="I37" s="71"/>
      <c r="J37" s="71"/>
      <c r="K37" s="71"/>
    </row>
    <row r="38" spans="1:11" s="72" customFormat="1" ht="15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</row>
    <row r="39" spans="1:11" s="72" customFormat="1" ht="45.75" thickBot="1">
      <c r="A39" s="71"/>
      <c r="B39" s="64"/>
      <c r="C39" s="70" t="s">
        <v>69</v>
      </c>
      <c r="D39" s="70" t="s">
        <v>75</v>
      </c>
      <c r="E39" s="64" t="s">
        <v>57</v>
      </c>
      <c r="F39" s="71"/>
      <c r="G39" s="71"/>
      <c r="H39" s="71"/>
      <c r="I39" s="71"/>
      <c r="J39" s="71"/>
      <c r="K39" s="71"/>
    </row>
    <row r="40" spans="1:11" s="72" customFormat="1" ht="15">
      <c r="A40" s="71"/>
      <c r="B40" s="77" t="s">
        <v>12</v>
      </c>
      <c r="C40" s="71">
        <f>C28</f>
        <v>1420</v>
      </c>
      <c r="D40" s="74">
        <f>SUMIF('[1]Лист2'!$D$4:$D$26,B40,'[1]Лист2'!$K$4:$K$26)</f>
        <v>347441.1607079499</v>
      </c>
      <c r="E40" s="74">
        <f>D40</f>
        <v>347441.1607079499</v>
      </c>
      <c r="F40" s="71"/>
      <c r="G40" s="71"/>
      <c r="H40" s="71"/>
      <c r="I40" s="71"/>
      <c r="J40" s="71"/>
      <c r="K40" s="71"/>
    </row>
    <row r="41" spans="1:11" s="72" customFormat="1" ht="15">
      <c r="A41" s="71"/>
      <c r="B41" s="83" t="s">
        <v>58</v>
      </c>
      <c r="C41" s="84">
        <f>C29</f>
        <v>721.25</v>
      </c>
      <c r="D41" s="85">
        <f>SUMIF('[1]Лист2'!$D$4:$D$26,B41,'[1]Лист2'!$K$4:$K$26)</f>
        <v>0</v>
      </c>
      <c r="E41" s="85">
        <f>D41</f>
        <v>0</v>
      </c>
      <c r="F41" s="71"/>
      <c r="G41" s="71"/>
      <c r="H41" s="71"/>
      <c r="I41" s="71"/>
      <c r="J41" s="71"/>
      <c r="K41" s="71"/>
    </row>
    <row r="42" spans="1:11" s="72" customFormat="1" ht="15">
      <c r="A42" s="71"/>
      <c r="B42" s="60" t="s">
        <v>16</v>
      </c>
      <c r="C42" s="71">
        <f>C30</f>
        <v>1512.5</v>
      </c>
      <c r="D42" s="74">
        <f>SUMIF('[1]Лист2'!$D$4:$D$26,B42,'[1]Лист2'!$K$4:$K$26)</f>
        <v>382332.9850762554</v>
      </c>
      <c r="E42" s="74">
        <f>D42</f>
        <v>382332.9850762554</v>
      </c>
      <c r="F42" s="71"/>
      <c r="G42" s="71"/>
      <c r="H42" s="71"/>
      <c r="I42" s="71"/>
      <c r="J42" s="71"/>
      <c r="K42" s="71"/>
    </row>
    <row r="43" spans="1:11" s="72" customFormat="1" ht="15.75" thickBot="1">
      <c r="A43" s="71"/>
      <c r="B43" s="79" t="s">
        <v>18</v>
      </c>
      <c r="C43" s="71">
        <f>C31</f>
        <v>1108.75</v>
      </c>
      <c r="D43" s="74">
        <f>SUMIF('[1]Лист2'!$D$4:$D$26,B43,'[1]Лист2'!$K$4:$K$26)</f>
        <v>171235.75558078018</v>
      </c>
      <c r="E43" s="74">
        <f>D43</f>
        <v>171235.75558078018</v>
      </c>
      <c r="F43" s="71"/>
      <c r="G43" s="71"/>
      <c r="H43" s="71"/>
      <c r="I43" s="71"/>
      <c r="J43" s="71"/>
      <c r="K43" s="71"/>
    </row>
    <row r="44" spans="1:11" s="72" customFormat="1" ht="15">
      <c r="A44" s="71"/>
      <c r="B44" s="71"/>
      <c r="C44" s="71"/>
      <c r="D44" s="74"/>
      <c r="E44" s="74"/>
      <c r="F44" s="71"/>
      <c r="G44" s="71"/>
      <c r="H44" s="71"/>
      <c r="I44" s="71"/>
      <c r="J44" s="71"/>
      <c r="K44" s="71"/>
    </row>
    <row r="45" spans="1:11" s="72" customFormat="1" ht="15">
      <c r="A45" s="71"/>
      <c r="B45" s="65" t="s">
        <v>59</v>
      </c>
      <c r="C45" s="71">
        <f>SUM(C40:C44)</f>
        <v>4762.5</v>
      </c>
      <c r="D45" s="74"/>
      <c r="E45" s="74">
        <f>SUM(E40:E44)</f>
        <v>901009.9013649855</v>
      </c>
      <c r="F45" s="71"/>
      <c r="G45" s="71"/>
      <c r="H45" s="71"/>
      <c r="I45" s="71"/>
      <c r="J45" s="71"/>
      <c r="K45" s="71"/>
    </row>
    <row r="46" spans="1:11" s="72" customFormat="1" ht="15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</row>
    <row r="47" spans="1:11" s="72" customFormat="1" ht="15">
      <c r="A47" s="71"/>
      <c r="B47" s="68" t="s">
        <v>76</v>
      </c>
      <c r="C47" s="71"/>
      <c r="D47" s="71"/>
      <c r="E47" s="71"/>
      <c r="F47" s="71"/>
      <c r="G47" s="71"/>
      <c r="H47" s="71"/>
      <c r="I47" s="71"/>
      <c r="J47" s="71"/>
      <c r="K47" s="71"/>
    </row>
    <row r="48" spans="1:11" s="72" customFormat="1" ht="15">
      <c r="A48" s="71"/>
      <c r="B48" s="71"/>
      <c r="C48" s="71"/>
      <c r="D48" s="71"/>
      <c r="E48" s="71"/>
      <c r="F48" s="71"/>
      <c r="G48" s="71"/>
      <c r="H48" s="71"/>
      <c r="I48" s="71"/>
      <c r="J48" s="71"/>
      <c r="K48" s="71"/>
    </row>
    <row r="49" spans="1:11" s="72" customFormat="1" ht="15.75" thickBot="1">
      <c r="A49" s="71"/>
      <c r="B49" s="64"/>
      <c r="C49" s="64" t="s">
        <v>77</v>
      </c>
      <c r="D49" s="64" t="s">
        <v>78</v>
      </c>
      <c r="E49" s="64" t="s">
        <v>1</v>
      </c>
      <c r="F49" s="64" t="s">
        <v>45</v>
      </c>
      <c r="G49" s="64" t="s">
        <v>59</v>
      </c>
      <c r="H49" s="71"/>
      <c r="I49" s="71"/>
      <c r="J49" s="71"/>
      <c r="K49" s="71"/>
    </row>
    <row r="50" spans="1:11" s="72" customFormat="1" ht="15">
      <c r="A50" s="71"/>
      <c r="B50" s="77" t="s">
        <v>12</v>
      </c>
      <c r="C50" s="74">
        <f>F16</f>
        <v>0</v>
      </c>
      <c r="D50" s="74">
        <f>E40</f>
        <v>347441.1607079499</v>
      </c>
      <c r="E50" s="74">
        <f>F28</f>
        <v>70066</v>
      </c>
      <c r="F50" s="74">
        <f>K28</f>
        <v>45439.99999999999</v>
      </c>
      <c r="G50" s="74">
        <f>C50+D50+E50+F50</f>
        <v>462947.1607079499</v>
      </c>
      <c r="H50" s="71"/>
      <c r="I50" s="71"/>
      <c r="J50" s="71"/>
      <c r="K50" s="71"/>
    </row>
    <row r="51" spans="1:11" s="72" customFormat="1" ht="15">
      <c r="A51" s="71"/>
      <c r="B51" s="78" t="s">
        <v>58</v>
      </c>
      <c r="C51" s="74">
        <f>F17</f>
        <v>82450.10368469483</v>
      </c>
      <c r="D51" s="85">
        <f>E41</f>
        <v>0</v>
      </c>
      <c r="E51" s="74">
        <f>F29</f>
        <v>40713.75</v>
      </c>
      <c r="F51" s="74">
        <f>K29</f>
        <v>23079.999999999996</v>
      </c>
      <c r="G51" s="74">
        <f>C51+D51+E51+F51</f>
        <v>146243.85368469483</v>
      </c>
      <c r="H51" s="71"/>
      <c r="I51" s="71"/>
      <c r="J51" s="71"/>
      <c r="K51" s="71"/>
    </row>
    <row r="52" spans="1:11" s="72" customFormat="1" ht="15">
      <c r="A52" s="71"/>
      <c r="B52" s="60" t="s">
        <v>16</v>
      </c>
      <c r="C52" s="74">
        <f>F18</f>
        <v>167723.49191862196</v>
      </c>
      <c r="D52" s="74">
        <f>E42</f>
        <v>382332.9850762554</v>
      </c>
      <c r="E52" s="74">
        <f>F30</f>
        <v>78003.75</v>
      </c>
      <c r="F52" s="74">
        <f>K30</f>
        <v>48399.99999999999</v>
      </c>
      <c r="G52" s="74">
        <f>C52+D52+E52+F52</f>
        <v>676460.2269948773</v>
      </c>
      <c r="H52" s="71"/>
      <c r="I52" s="71"/>
      <c r="J52" s="71"/>
      <c r="K52" s="71"/>
    </row>
    <row r="53" spans="1:11" s="72" customFormat="1" ht="15.75" thickBot="1">
      <c r="A53" s="71"/>
      <c r="B53" s="79" t="s">
        <v>18</v>
      </c>
      <c r="C53" s="74">
        <f>F19</f>
        <v>165955.55842816428</v>
      </c>
      <c r="D53" s="74">
        <f>E43</f>
        <v>171235.75558078018</v>
      </c>
      <c r="E53" s="74">
        <f>F31</f>
        <v>64889.5</v>
      </c>
      <c r="F53" s="74">
        <f>K31</f>
        <v>35480</v>
      </c>
      <c r="G53" s="74">
        <f>C53+D53+E53+F53</f>
        <v>437560.81400894444</v>
      </c>
      <c r="H53" s="71"/>
      <c r="I53" s="71"/>
      <c r="J53" s="71"/>
      <c r="K53" s="71"/>
    </row>
    <row r="54" spans="1:11" s="72" customFormat="1" ht="15">
      <c r="A54" s="71"/>
      <c r="B54" s="71"/>
      <c r="C54" s="74"/>
      <c r="D54" s="74"/>
      <c r="E54" s="74"/>
      <c r="F54" s="74"/>
      <c r="G54" s="74"/>
      <c r="H54" s="71"/>
      <c r="I54" s="71"/>
      <c r="J54" s="71"/>
      <c r="K54" s="71"/>
    </row>
    <row r="55" spans="1:11" s="72" customFormat="1" ht="15">
      <c r="A55" s="71"/>
      <c r="B55" s="71" t="s">
        <v>79</v>
      </c>
      <c r="C55" s="62">
        <f>SUM(C50:C54)</f>
        <v>416129.15403148107</v>
      </c>
      <c r="D55" s="62">
        <f>SUM(D50:D54)</f>
        <v>901009.9013649855</v>
      </c>
      <c r="E55" s="62">
        <f>SUM(E50:E54)</f>
        <v>253673</v>
      </c>
      <c r="F55" s="62">
        <f>SUM(F50:F54)</f>
        <v>152399.99999999997</v>
      </c>
      <c r="G55" s="62">
        <f>SUM(G50:G54)</f>
        <v>1723212.0553964665</v>
      </c>
      <c r="H55" s="71"/>
      <c r="I55" s="71"/>
      <c r="J55" s="71"/>
      <c r="K55" s="71"/>
    </row>
    <row r="56" spans="1:11" s="72" customFormat="1" ht="15">
      <c r="A56" s="71"/>
      <c r="B56" s="71"/>
      <c r="C56" s="71"/>
      <c r="D56" s="71"/>
      <c r="E56" s="71"/>
      <c r="F56" s="71"/>
      <c r="G56" s="71"/>
      <c r="H56" s="71"/>
      <c r="I56" s="71"/>
      <c r="J56" s="71"/>
      <c r="K56" s="71"/>
    </row>
    <row r="57" spans="1:11" s="72" customFormat="1" ht="15">
      <c r="A57" s="71"/>
      <c r="B57" s="71"/>
      <c r="C57" s="71"/>
      <c r="D57" s="71"/>
      <c r="E57" s="71"/>
      <c r="F57" s="71"/>
      <c r="G57" s="71"/>
      <c r="H57" s="71"/>
      <c r="I57" s="71"/>
      <c r="J57" s="71"/>
      <c r="K57" s="71"/>
    </row>
    <row r="58" spans="1:11" s="72" customFormat="1" ht="15">
      <c r="A58" s="71"/>
      <c r="B58" s="71"/>
      <c r="C58" s="71"/>
      <c r="D58" s="71"/>
      <c r="E58" s="71"/>
      <c r="F58" s="71"/>
      <c r="G58" s="71"/>
      <c r="H58" s="71"/>
      <c r="I58" s="71"/>
      <c r="J58" s="71"/>
      <c r="K58" s="71"/>
    </row>
    <row r="59" spans="1:11" s="72" customFormat="1" ht="15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</row>
    <row r="60" spans="1:11" s="72" customFormat="1" ht="15">
      <c r="A60" s="71"/>
      <c r="B60" s="71"/>
      <c r="C60" s="71"/>
      <c r="D60" s="71"/>
      <c r="E60" s="71"/>
      <c r="F60" s="71"/>
      <c r="G60" s="71"/>
      <c r="H60" s="71"/>
      <c r="I60" s="71"/>
      <c r="J60" s="71"/>
      <c r="K60" s="71"/>
    </row>
    <row r="61" spans="1:11" s="72" customFormat="1" ht="15">
      <c r="A61" s="71"/>
      <c r="B61" s="71"/>
      <c r="C61" s="71"/>
      <c r="D61" s="71"/>
      <c r="E61" s="71"/>
      <c r="F61" s="71"/>
      <c r="G61" s="71"/>
      <c r="H61" s="71"/>
      <c r="I61" s="71"/>
      <c r="J61" s="71"/>
      <c r="K61" s="71"/>
    </row>
    <row r="62" spans="1:11" s="72" customFormat="1" ht="15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</row>
    <row r="63" spans="1:11" s="72" customFormat="1" ht="15">
      <c r="A63" s="71"/>
      <c r="B63" s="71"/>
      <c r="C63" s="71"/>
      <c r="D63" s="71"/>
      <c r="E63" s="71"/>
      <c r="F63" s="71"/>
      <c r="G63" s="71"/>
      <c r="H63" s="71"/>
      <c r="I63" s="71"/>
      <c r="J63" s="71"/>
      <c r="K63" s="71"/>
    </row>
    <row r="64" spans="1:11" s="72" customFormat="1" ht="15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</row>
    <row r="65" spans="1:11" s="72" customFormat="1" ht="15">
      <c r="A65" s="71"/>
      <c r="B65" s="71"/>
      <c r="C65" s="71"/>
      <c r="D65" s="71"/>
      <c r="E65" s="71"/>
      <c r="F65" s="71"/>
      <c r="G65" s="71"/>
      <c r="H65" s="71"/>
      <c r="I65" s="71"/>
      <c r="J65" s="71"/>
      <c r="K65" s="71"/>
    </row>
    <row r="66" spans="1:11" s="72" customFormat="1" ht="15">
      <c r="A66" s="71"/>
      <c r="B66" s="71"/>
      <c r="C66" s="71"/>
      <c r="D66" s="71"/>
      <c r="E66" s="71"/>
      <c r="F66" s="71"/>
      <c r="G66" s="71"/>
      <c r="H66" s="71"/>
      <c r="I66" s="71"/>
      <c r="J66" s="71"/>
      <c r="K66" s="71"/>
    </row>
    <row r="67" spans="1:11" s="72" customFormat="1" ht="15">
      <c r="A67" s="71"/>
      <c r="B67" s="71"/>
      <c r="C67" s="71"/>
      <c r="D67" s="71"/>
      <c r="E67" s="71"/>
      <c r="F67" s="71"/>
      <c r="G67" s="71"/>
      <c r="H67" s="71"/>
      <c r="I67" s="71"/>
      <c r="J67" s="71"/>
      <c r="K67" s="71"/>
    </row>
    <row r="68" spans="1:11" s="72" customFormat="1" ht="15">
      <c r="A68" s="71"/>
      <c r="B68" s="71"/>
      <c r="C68" s="71"/>
      <c r="D68" s="71"/>
      <c r="E68" s="71"/>
      <c r="F68" s="71"/>
      <c r="G68" s="71"/>
      <c r="H68" s="71"/>
      <c r="I68" s="71"/>
      <c r="J68" s="71"/>
      <c r="K68" s="71"/>
    </row>
    <row r="69" spans="1:11" s="72" customFormat="1" ht="15">
      <c r="A69" s="71"/>
      <c r="B69" s="71"/>
      <c r="C69" s="71"/>
      <c r="D69" s="71"/>
      <c r="E69" s="71"/>
      <c r="F69" s="71"/>
      <c r="G69" s="71"/>
      <c r="H69" s="71"/>
      <c r="I69" s="71"/>
      <c r="J69" s="71"/>
      <c r="K69" s="71"/>
    </row>
    <row r="70" spans="1:11" s="72" customFormat="1" ht="15">
      <c r="A70" s="71"/>
      <c r="B70" s="71"/>
      <c r="C70" s="71"/>
      <c r="D70" s="71"/>
      <c r="E70" s="71"/>
      <c r="F70" s="71"/>
      <c r="G70" s="71"/>
      <c r="H70" s="71"/>
      <c r="I70" s="71"/>
      <c r="J70" s="71"/>
      <c r="K70" s="71"/>
    </row>
    <row r="71" spans="1:11" s="72" customFormat="1" ht="15">
      <c r="A71" s="71"/>
      <c r="B71" s="71"/>
      <c r="C71" s="71"/>
      <c r="D71" s="71"/>
      <c r="E71" s="71"/>
      <c r="F71" s="71"/>
      <c r="G71" s="71"/>
      <c r="H71" s="71"/>
      <c r="I71" s="71"/>
      <c r="J71" s="71"/>
      <c r="K71" s="71"/>
    </row>
    <row r="72" spans="1:11" s="72" customFormat="1" ht="15">
      <c r="A72" s="71"/>
      <c r="B72" s="71"/>
      <c r="C72" s="71"/>
      <c r="D72" s="71"/>
      <c r="E72" s="71"/>
      <c r="F72" s="71"/>
      <c r="G72" s="71"/>
      <c r="H72" s="71"/>
      <c r="I72" s="71"/>
      <c r="J72" s="71"/>
      <c r="K72" s="71"/>
    </row>
    <row r="73" spans="1:11" s="72" customFormat="1" ht="15">
      <c r="A73" s="71"/>
      <c r="B73" s="71"/>
      <c r="C73" s="71"/>
      <c r="D73" s="71"/>
      <c r="E73" s="71"/>
      <c r="F73" s="71"/>
      <c r="G73" s="71"/>
      <c r="H73" s="71"/>
      <c r="I73" s="71"/>
      <c r="J73" s="71"/>
      <c r="K73" s="71"/>
    </row>
  </sheetData>
  <mergeCells count="2">
    <mergeCell ref="B6:C6"/>
    <mergeCell ref="B7:C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</dc:creator>
  <cp:keywords/>
  <dc:description/>
  <cp:lastModifiedBy>Роман</cp:lastModifiedBy>
  <dcterms:created xsi:type="dcterms:W3CDTF">2014-03-02T16:05:07Z</dcterms:created>
  <dcterms:modified xsi:type="dcterms:W3CDTF">2014-03-02T16:10:47Z</dcterms:modified>
  <cp:category/>
  <cp:version/>
  <cp:contentType/>
  <cp:contentStatus/>
</cp:coreProperties>
</file>